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Лист1!$A$1:$I$85</definedName>
    <definedName name="_xlnm.Print_Area" localSheetId="1">Лист2!$A$1:$M$26</definedName>
    <definedName name="_xlnm.Print_Area" localSheetId="2">Лист3!$A$1:$I$13</definedName>
  </definedNames>
  <calcPr calcId="125725"/>
</workbook>
</file>

<file path=xl/calcChain.xml><?xml version="1.0" encoding="utf-8"?>
<calcChain xmlns="http://schemas.openxmlformats.org/spreadsheetml/2006/main">
  <c r="N8" i="2"/>
  <c r="N14"/>
  <c r="N16"/>
  <c r="I3" i="1"/>
  <c r="D21"/>
  <c r="E21"/>
  <c r="F21"/>
  <c r="D20"/>
  <c r="E20"/>
  <c r="F20"/>
  <c r="C21"/>
  <c r="C20"/>
  <c r="C70"/>
  <c r="C61"/>
  <c r="C52"/>
  <c r="D39"/>
  <c r="E39"/>
  <c r="F39"/>
  <c r="C39"/>
  <c r="D25"/>
  <c r="E25"/>
  <c r="F25"/>
  <c r="C25"/>
  <c r="D11"/>
  <c r="E11"/>
  <c r="F11"/>
  <c r="C11"/>
  <c r="D8"/>
  <c r="E8"/>
  <c r="F8"/>
  <c r="C8"/>
  <c r="I6" i="3"/>
  <c r="F12"/>
  <c r="F6"/>
  <c r="I4" i="1"/>
  <c r="I5"/>
  <c r="I6"/>
  <c r="I7"/>
  <c r="I8"/>
  <c r="I10"/>
  <c r="I12"/>
  <c r="I15"/>
  <c r="I16"/>
  <c r="I17"/>
  <c r="I18"/>
  <c r="I19"/>
  <c r="I20"/>
  <c r="I21"/>
  <c r="I22"/>
  <c r="I24"/>
  <c r="I26"/>
  <c r="I29"/>
  <c r="I30"/>
  <c r="I31"/>
  <c r="I32"/>
  <c r="I33"/>
  <c r="I34"/>
  <c r="I35"/>
  <c r="I36"/>
  <c r="I38"/>
  <c r="I40"/>
  <c r="I43"/>
  <c r="I44"/>
  <c r="I45"/>
  <c r="I46"/>
  <c r="I47"/>
  <c r="I48"/>
  <c r="I49"/>
  <c r="I51"/>
  <c r="I53"/>
  <c r="I56"/>
  <c r="I57"/>
  <c r="I58"/>
  <c r="I59"/>
  <c r="I60"/>
  <c r="I61"/>
  <c r="I63"/>
  <c r="I65"/>
  <c r="I66"/>
  <c r="I67"/>
  <c r="I68"/>
  <c r="I69"/>
  <c r="I70"/>
  <c r="I72"/>
  <c r="I74"/>
  <c r="I75"/>
  <c r="I76"/>
  <c r="I77"/>
  <c r="I78"/>
  <c r="I79"/>
  <c r="I80"/>
  <c r="I81"/>
  <c r="I83"/>
  <c r="I85"/>
  <c r="I86"/>
  <c r="I87"/>
  <c r="B11" i="3"/>
  <c r="B12" s="1"/>
  <c r="B10"/>
  <c r="B9"/>
  <c r="B4"/>
  <c r="B3"/>
  <c r="C81" i="1"/>
  <c r="C49"/>
  <c r="G52" s="1"/>
  <c r="D36"/>
  <c r="E36"/>
  <c r="F36"/>
  <c r="C36"/>
  <c r="D22"/>
  <c r="E22"/>
  <c r="F22"/>
  <c r="C22"/>
  <c r="C80"/>
  <c r="C82"/>
  <c r="G82" s="1"/>
  <c r="M8" i="2" s="1"/>
  <c r="C71" i="1"/>
  <c r="G71" s="1"/>
  <c r="L8" i="2" s="1"/>
  <c r="C62" i="1"/>
  <c r="G62" s="1"/>
  <c r="K8" i="2" s="1"/>
  <c r="C50" i="1"/>
  <c r="G50" s="1"/>
  <c r="I8" i="2" s="1"/>
  <c r="F35" i="1"/>
  <c r="E35"/>
  <c r="D35"/>
  <c r="C35"/>
  <c r="F34"/>
  <c r="E34"/>
  <c r="D34"/>
  <c r="C34"/>
  <c r="F37"/>
  <c r="E37"/>
  <c r="D37"/>
  <c r="C37"/>
  <c r="G37" s="1"/>
  <c r="G8" i="2" s="1"/>
  <c r="F23" i="1"/>
  <c r="F24" s="1"/>
  <c r="E23"/>
  <c r="E24" s="1"/>
  <c r="D23"/>
  <c r="D24" s="1"/>
  <c r="C23"/>
  <c r="C24" s="1"/>
  <c r="D12"/>
  <c r="E12"/>
  <c r="F12"/>
  <c r="D9"/>
  <c r="D10" s="1"/>
  <c r="E9"/>
  <c r="E10" s="1"/>
  <c r="F9"/>
  <c r="F10" s="1"/>
  <c r="C12"/>
  <c r="C9"/>
  <c r="C10" s="1"/>
  <c r="I71" l="1"/>
  <c r="I62"/>
  <c r="G25"/>
  <c r="F8" i="2" s="1"/>
  <c r="G39" i="1"/>
  <c r="H8" i="2"/>
  <c r="I39" i="1"/>
  <c r="J8" i="2"/>
  <c r="I52" i="1"/>
  <c r="I37"/>
  <c r="I50"/>
  <c r="I82"/>
  <c r="I25"/>
  <c r="G11"/>
  <c r="G23"/>
  <c r="G9"/>
  <c r="C83"/>
  <c r="C84" s="1"/>
  <c r="G84" s="1"/>
  <c r="I84" s="1"/>
  <c r="C26"/>
  <c r="C28"/>
  <c r="F26"/>
  <c r="F28"/>
  <c r="E26"/>
  <c r="E28"/>
  <c r="D26"/>
  <c r="D28"/>
  <c r="C72"/>
  <c r="C73" s="1"/>
  <c r="G73" s="1"/>
  <c r="I73" s="1"/>
  <c r="C63"/>
  <c r="C64" s="1"/>
  <c r="G64" s="1"/>
  <c r="I64" s="1"/>
  <c r="C51"/>
  <c r="C54" s="1"/>
  <c r="G54" s="1"/>
  <c r="I54" s="1"/>
  <c r="C53"/>
  <c r="C55" s="1"/>
  <c r="G55" s="1"/>
  <c r="I55" s="1"/>
  <c r="C38"/>
  <c r="C41" s="1"/>
  <c r="D38"/>
  <c r="D41" s="1"/>
  <c r="E38"/>
  <c r="E41" s="1"/>
  <c r="F38"/>
  <c r="F41" s="1"/>
  <c r="C40"/>
  <c r="C42" s="1"/>
  <c r="D40"/>
  <c r="D42" s="1"/>
  <c r="E40"/>
  <c r="E42" s="1"/>
  <c r="F40"/>
  <c r="F42" s="1"/>
  <c r="C13"/>
  <c r="F13"/>
  <c r="E13"/>
  <c r="D13"/>
  <c r="C14"/>
  <c r="F14"/>
  <c r="E14"/>
  <c r="D14"/>
  <c r="C27"/>
  <c r="D27"/>
  <c r="E27"/>
  <c r="F27"/>
  <c r="C8" i="2" l="1"/>
  <c r="I9" i="1"/>
  <c r="I11"/>
  <c r="D8" i="2"/>
  <c r="E8"/>
  <c r="I23" i="1"/>
  <c r="G3"/>
  <c r="G42"/>
  <c r="I42" s="1"/>
  <c r="G41"/>
  <c r="I41" s="1"/>
  <c r="G28"/>
  <c r="I28" s="1"/>
  <c r="G14"/>
  <c r="I14" s="1"/>
  <c r="G27"/>
  <c r="G13"/>
  <c r="I13" s="1"/>
  <c r="I27" l="1"/>
  <c r="H82" l="1"/>
  <c r="M20" i="2" s="1"/>
  <c r="H71" i="1"/>
  <c r="L20" i="2" s="1"/>
  <c r="H62" i="1"/>
  <c r="K20" i="2" s="1"/>
  <c r="H52" i="1"/>
  <c r="J20" i="2" s="1"/>
  <c r="H50" i="1"/>
  <c r="I20" i="2" s="1"/>
  <c r="H39" i="1"/>
  <c r="H20" i="2" s="1"/>
  <c r="H37" i="1"/>
  <c r="G20" i="2" s="1"/>
  <c r="H25" i="1"/>
  <c r="F20" i="2" s="1"/>
  <c r="H11" i="1"/>
  <c r="D20" i="2" s="1"/>
  <c r="H9" i="1"/>
  <c r="C20" i="2" s="1"/>
  <c r="H23" i="1"/>
  <c r="E20" i="2" s="1"/>
  <c r="E7" l="1"/>
  <c r="E10"/>
  <c r="E12"/>
  <c r="E13"/>
  <c r="E9"/>
  <c r="C9"/>
  <c r="C12"/>
  <c r="C13"/>
  <c r="C7"/>
  <c r="C10"/>
  <c r="D13"/>
  <c r="D12"/>
  <c r="D11" s="1"/>
  <c r="D7"/>
  <c r="D9"/>
  <c r="D10"/>
  <c r="F10"/>
  <c r="F12"/>
  <c r="F13"/>
  <c r="F9"/>
  <c r="F7"/>
  <c r="F6" s="1"/>
  <c r="G13"/>
  <c r="G7"/>
  <c r="G9"/>
  <c r="G10"/>
  <c r="G12"/>
  <c r="G11" s="1"/>
  <c r="H13"/>
  <c r="H7"/>
  <c r="H9"/>
  <c r="H10"/>
  <c r="H12"/>
  <c r="H11" s="1"/>
  <c r="I7"/>
  <c r="I9"/>
  <c r="I10"/>
  <c r="I12"/>
  <c r="I13"/>
  <c r="J13"/>
  <c r="J7"/>
  <c r="J9"/>
  <c r="J10"/>
  <c r="J12"/>
  <c r="J11" s="1"/>
  <c r="K13"/>
  <c r="K10"/>
  <c r="K9"/>
  <c r="K7"/>
  <c r="K6" s="1"/>
  <c r="K12"/>
  <c r="K11" s="1"/>
  <c r="L13"/>
  <c r="L12"/>
  <c r="L11" s="1"/>
  <c r="L7"/>
  <c r="L9"/>
  <c r="L10"/>
  <c r="M9"/>
  <c r="N9" s="1"/>
  <c r="M7"/>
  <c r="M10"/>
  <c r="N10" s="1"/>
  <c r="M12"/>
  <c r="N12" s="1"/>
  <c r="M13"/>
  <c r="N13" s="1"/>
  <c r="N7" l="1"/>
  <c r="M6"/>
  <c r="K5"/>
  <c r="K15"/>
  <c r="K17" s="1"/>
  <c r="K19" s="1"/>
  <c r="M11"/>
  <c r="L6"/>
  <c r="J6"/>
  <c r="I11"/>
  <c r="I6"/>
  <c r="I15" s="1"/>
  <c r="I17" s="1"/>
  <c r="I19" s="1"/>
  <c r="H6"/>
  <c r="G6"/>
  <c r="F11"/>
  <c r="F5" s="1"/>
  <c r="D6"/>
  <c r="D5" s="1"/>
  <c r="D15"/>
  <c r="D17" s="1"/>
  <c r="C6"/>
  <c r="C11"/>
  <c r="C5" s="1"/>
  <c r="E11"/>
  <c r="E6"/>
  <c r="E15" s="1"/>
  <c r="E17" s="1"/>
  <c r="D19"/>
  <c r="N11" l="1"/>
  <c r="N6"/>
  <c r="E19"/>
  <c r="G5"/>
  <c r="G15"/>
  <c r="G17" s="1"/>
  <c r="G19" s="1"/>
  <c r="H5"/>
  <c r="H15"/>
  <c r="H17" s="1"/>
  <c r="H19" s="1"/>
  <c r="J5"/>
  <c r="J15"/>
  <c r="J17" s="1"/>
  <c r="J19" s="1"/>
  <c r="L5"/>
  <c r="L15"/>
  <c r="M5"/>
  <c r="M15"/>
  <c r="E5"/>
  <c r="C15"/>
  <c r="C17" s="1"/>
  <c r="F15"/>
  <c r="F17" s="1"/>
  <c r="F19" s="1"/>
  <c r="I5"/>
  <c r="C19"/>
  <c r="N15" l="1"/>
  <c r="N5"/>
  <c r="M17"/>
  <c r="M19" s="1"/>
  <c r="L17"/>
  <c r="L19" l="1"/>
  <c r="N17"/>
</calcChain>
</file>

<file path=xl/comments1.xml><?xml version="1.0" encoding="utf-8"?>
<comments xmlns="http://schemas.openxmlformats.org/spreadsheetml/2006/main">
  <authors>
    <author>Автор</author>
  </authors>
  <commentList>
    <comment ref="E5" authorId="0">
      <text>
        <r>
          <rPr>
            <sz val="8"/>
            <color indexed="81"/>
            <rFont val="Tahoma"/>
            <family val="2"/>
            <charset val="204"/>
          </rPr>
          <t xml:space="preserve"> 3,24 % від  загальних адмінвитрат - 139270
</t>
        </r>
      </text>
    </comment>
    <comment ref="H5" authorId="0">
      <text>
        <r>
          <rPr>
            <sz val="8"/>
            <color indexed="81"/>
            <rFont val="Tahoma"/>
            <family val="2"/>
            <charset val="204"/>
          </rPr>
          <t xml:space="preserve"> 3,24 % від  загальних адмінвитрат - 139270
</t>
        </r>
      </text>
    </comment>
  </commentList>
</comments>
</file>

<file path=xl/sharedStrings.xml><?xml version="1.0" encoding="utf-8"?>
<sst xmlns="http://schemas.openxmlformats.org/spreadsheetml/2006/main" count="158" uniqueCount="96">
  <si>
    <t>Розрахунок витрат на оплату праці  по ритуальних послугах</t>
  </si>
  <si>
    <t>Довжина могили, м</t>
  </si>
  <si>
    <t>Норма  часу на 1 могилу влітку</t>
  </si>
  <si>
    <t>Норма часу на 1 могилу взимку</t>
  </si>
  <si>
    <t>ПОКАЗНИКИ</t>
  </si>
  <si>
    <t>Часова тарифна ставка землекопа</t>
  </si>
  <si>
    <t>Витрати на оплату праці  на 1 могилу  влітку</t>
  </si>
  <si>
    <t>Витрати на оплату праці  на 1 могилу  взимку</t>
  </si>
  <si>
    <t xml:space="preserve">Нарахування на з/пл  </t>
  </si>
  <si>
    <t>Витрати на оплату праці з нарахуваннями  влітку</t>
  </si>
  <si>
    <t>Витрати на оплату праці з нарахуваннями  взимку</t>
  </si>
  <si>
    <t>Копання могили ручним способом</t>
  </si>
  <si>
    <t>Перепоховання померлого   іншу могилу</t>
  </si>
  <si>
    <t xml:space="preserve">Витрати на оплату праці  на 1 могилу  влітку </t>
  </si>
  <si>
    <t>Витрати на оплату праці з нарахуваннями   влітку</t>
  </si>
  <si>
    <t xml:space="preserve">Норма  часу на 1 могилу влітку </t>
  </si>
  <si>
    <t xml:space="preserve">Витрати на оплату праці  на 1 могилу  взимку </t>
  </si>
  <si>
    <t>Витрати на оплату праці з нарахуваннями   взимку</t>
  </si>
  <si>
    <t xml:space="preserve">Норма  часу на 1 могилу взимку </t>
  </si>
  <si>
    <t>Підпоховання в існуючу могилу</t>
  </si>
  <si>
    <t>Поховання та підпоховання урни з прахом померлих у колумбарну нішу, в існуючу могилу, у землю</t>
  </si>
  <si>
    <t xml:space="preserve">Оформлення свідоцтва  про поховання </t>
  </si>
  <si>
    <t>Оформлення довідки про поховання</t>
  </si>
  <si>
    <t>Норма  часу на 1 довідку</t>
  </si>
  <si>
    <t>Норма  часу на 1 свідоцтво</t>
  </si>
  <si>
    <t xml:space="preserve">Часова тарифна ставка </t>
  </si>
  <si>
    <t>Витрати на оплату праці  на 1 свідоцтво</t>
  </si>
  <si>
    <t>Витрати на оплату праці  на 1  довідку</t>
  </si>
  <si>
    <t xml:space="preserve">Витрати на оплату праці з нарахуваннями  </t>
  </si>
  <si>
    <t>Норма  часу на 1 монолітну  споруду  (вагою до 200 кг, товщ. плит до 200 мм )</t>
  </si>
  <si>
    <t>% розпод ЗВВ та адм. Витрат</t>
  </si>
  <si>
    <t>№ з/п</t>
  </si>
  <si>
    <t>Складові тарифу</t>
  </si>
  <si>
    <t>Витрати  операційної діяльності</t>
  </si>
  <si>
    <t>Виробнича собівартість</t>
  </si>
  <si>
    <t>1.1</t>
  </si>
  <si>
    <t>1.1.1</t>
  </si>
  <si>
    <t>Прямі матеріальні витрати</t>
  </si>
  <si>
    <t>1.1.2</t>
  </si>
  <si>
    <t>Прямі витрати на оплату праці</t>
  </si>
  <si>
    <t>1.1.3</t>
  </si>
  <si>
    <t>Інші прямі витрати в т.ч.  відрахування на загальнообов'язкове  державне  соціальне страхування амортизація ОЗ виробничого призначення</t>
  </si>
  <si>
    <t>1.2</t>
  </si>
  <si>
    <t>Операційні витрати</t>
  </si>
  <si>
    <t>1.2.1</t>
  </si>
  <si>
    <t>Адміністративні витрати</t>
  </si>
  <si>
    <t>1.2.2</t>
  </si>
  <si>
    <t>Витрати на збут</t>
  </si>
  <si>
    <t>1.2.3</t>
  </si>
  <si>
    <t>Інші операційні витрати</t>
  </si>
  <si>
    <t>3.</t>
  </si>
  <si>
    <t>Повна собівартість</t>
  </si>
  <si>
    <t>4</t>
  </si>
  <si>
    <t>Плановий прибуток</t>
  </si>
  <si>
    <t>5.</t>
  </si>
  <si>
    <t>Всього вартість</t>
  </si>
  <si>
    <t>6.</t>
  </si>
  <si>
    <t>Обсяг  наданих послуг в натуральному виразі</t>
  </si>
  <si>
    <t>7.</t>
  </si>
  <si>
    <t>Витрати на обсяг послуг  планового періоду влітку</t>
  </si>
  <si>
    <t>Витрати на обсяг послуг  планового періоду взимку</t>
  </si>
  <si>
    <t>кількість</t>
  </si>
  <si>
    <t>Кількість</t>
  </si>
  <si>
    <t xml:space="preserve">Витрати на обсяг послуг  планового періоду </t>
  </si>
  <si>
    <t>Монтаж /демонтаж  намогильної споруди</t>
  </si>
  <si>
    <t>Загальновиробничі витрати ( електроенергія, вода, вивіз сміття, охорона)</t>
  </si>
  <si>
    <t>Сбут</t>
  </si>
  <si>
    <t>ЗВВ</t>
  </si>
  <si>
    <t>Елктроенергія</t>
  </si>
  <si>
    <t>Вода</t>
  </si>
  <si>
    <t>Вивезення ТПВ</t>
  </si>
  <si>
    <t>Охорона кладов</t>
  </si>
  <si>
    <t>Утриманняи кладов</t>
  </si>
  <si>
    <t>Послуги з прибирання</t>
  </si>
  <si>
    <t>Нархування на з/пл</t>
  </si>
  <si>
    <t>Матеріали</t>
  </si>
  <si>
    <t>Зарплата загальновиробн персоналу ( наглядачі, прибир  охоронці)</t>
  </si>
  <si>
    <t>Всього</t>
  </si>
  <si>
    <t>В т.Ч. без матеріалів</t>
  </si>
  <si>
    <t>Зарплата</t>
  </si>
  <si>
    <t>Нарахування</t>
  </si>
  <si>
    <t xml:space="preserve"> Матеріали</t>
  </si>
  <si>
    <t xml:space="preserve">Інші </t>
  </si>
  <si>
    <t>Послуги банків</t>
  </si>
  <si>
    <t>Обслугов кас апаратів</t>
  </si>
  <si>
    <t>Витрати на обсяг послуг  планового періоду  влітку</t>
  </si>
  <si>
    <t>Витрати на обсяг послуг  планового періоду  взимку</t>
  </si>
  <si>
    <t xml:space="preserve"> для  послуги з видачі свідоцтва та  довідки про поховання</t>
  </si>
  <si>
    <t>Розрахунок тарифів на ритуальні послуги</t>
  </si>
  <si>
    <t xml:space="preserve">База розподілу  ЗВ, Адм  Сбут  витрат </t>
  </si>
  <si>
    <t>Монтаж/демонтаж намогильної споруди всередині встановленої огорожі</t>
  </si>
  <si>
    <t>Перепоховання померлого   іншу могилу з перекладанням у нову труну</t>
  </si>
  <si>
    <t xml:space="preserve">Начальник КП "МУЖКГ"                                </t>
  </si>
  <si>
    <t>С.В. Миза</t>
  </si>
  <si>
    <t>вик. Гєнчева Н.Є.</t>
  </si>
  <si>
    <t>Тариф ( ціна) одиниці послуги без ПДВ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</si>
</sst>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"/>
    <numFmt numFmtId="165" formatCode="0.0000"/>
  </numFmts>
  <fonts count="1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8"/>
      <color rgb="FF000000"/>
      <name val="Verdana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8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/>
    <xf numFmtId="0" fontId="2" fillId="2" borderId="1" xfId="0" applyFont="1" applyFill="1" applyBorder="1" applyAlignment="1">
      <alignment wrapText="1"/>
    </xf>
    <xf numFmtId="2" fontId="1" fillId="2" borderId="1" xfId="0" applyNumberFormat="1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wrapText="1"/>
    </xf>
    <xf numFmtId="2" fontId="3" fillId="2" borderId="1" xfId="0" applyNumberFormat="1" applyFont="1" applyFill="1" applyBorder="1"/>
    <xf numFmtId="0" fontId="3" fillId="2" borderId="0" xfId="0" applyFont="1" applyFill="1"/>
    <xf numFmtId="0" fontId="6" fillId="2" borderId="0" xfId="0" applyFont="1" applyFill="1"/>
    <xf numFmtId="0" fontId="1" fillId="2" borderId="0" xfId="0" applyFont="1" applyFill="1" applyBorder="1"/>
    <xf numFmtId="2" fontId="1" fillId="3" borderId="1" xfId="0" applyNumberFormat="1" applyFont="1" applyFill="1" applyBorder="1"/>
    <xf numFmtId="0" fontId="2" fillId="5" borderId="1" xfId="0" applyFont="1" applyFill="1" applyBorder="1" applyAlignment="1">
      <alignment wrapText="1"/>
    </xf>
    <xf numFmtId="2" fontId="1" fillId="5" borderId="1" xfId="0" applyNumberFormat="1" applyFont="1" applyFill="1" applyBorder="1"/>
    <xf numFmtId="2" fontId="3" fillId="3" borderId="1" xfId="0" applyNumberFormat="1" applyFont="1" applyFill="1" applyBorder="1"/>
    <xf numFmtId="0" fontId="8" fillId="0" borderId="0" xfId="0" applyFont="1"/>
    <xf numFmtId="0" fontId="8" fillId="0" borderId="0" xfId="0" applyFont="1" applyAlignment="1">
      <alignment wrapText="1"/>
    </xf>
    <xf numFmtId="2" fontId="8" fillId="0" borderId="0" xfId="0" applyNumberFormat="1" applyFont="1"/>
    <xf numFmtId="49" fontId="8" fillId="0" borderId="0" xfId="0" applyNumberFormat="1" applyFont="1" applyAlignment="1">
      <alignment horizontal="right"/>
    </xf>
    <xf numFmtId="0" fontId="5" fillId="2" borderId="0" xfId="0" applyFont="1" applyFill="1" applyAlignment="1">
      <alignment horizontal="left" wrapText="1"/>
    </xf>
    <xf numFmtId="0" fontId="2" fillId="0" borderId="0" xfId="0" applyFont="1" applyAlignment="1">
      <alignment horizontal="center"/>
    </xf>
    <xf numFmtId="0" fontId="8" fillId="6" borderId="0" xfId="0" applyFont="1" applyFill="1"/>
    <xf numFmtId="164" fontId="8" fillId="0" borderId="0" xfId="0" applyNumberFormat="1" applyFont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165" fontId="8" fillId="0" borderId="0" xfId="0" applyNumberFormat="1" applyFont="1"/>
    <xf numFmtId="0" fontId="1" fillId="2" borderId="3" xfId="0" applyFont="1" applyFill="1" applyBorder="1"/>
    <xf numFmtId="2" fontId="1" fillId="2" borderId="3" xfId="0" applyNumberFormat="1" applyFont="1" applyFill="1" applyBorder="1"/>
    <xf numFmtId="2" fontId="1" fillId="5" borderId="3" xfId="0" applyNumberFormat="1" applyFont="1" applyFill="1" applyBorder="1"/>
    <xf numFmtId="2" fontId="3" fillId="2" borderId="3" xfId="0" applyNumberFormat="1" applyFont="1" applyFill="1" applyBorder="1"/>
    <xf numFmtId="0" fontId="10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0" borderId="0" xfId="0" applyFont="1"/>
    <xf numFmtId="0" fontId="10" fillId="0" borderId="1" xfId="0" applyFont="1" applyBorder="1"/>
    <xf numFmtId="0" fontId="0" fillId="0" borderId="1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1" fillId="2" borderId="4" xfId="0" applyFont="1" applyFill="1" applyBorder="1"/>
    <xf numFmtId="2" fontId="1" fillId="2" borderId="4" xfId="0" applyNumberFormat="1" applyFont="1" applyFill="1" applyBorder="1"/>
    <xf numFmtId="0" fontId="3" fillId="2" borderId="4" xfId="0" applyFont="1" applyFill="1" applyBorder="1"/>
    <xf numFmtId="2" fontId="3" fillId="2" borderId="4" xfId="0" applyNumberFormat="1" applyFont="1" applyFill="1" applyBorder="1"/>
    <xf numFmtId="9" fontId="1" fillId="2" borderId="4" xfId="0" applyNumberFormat="1" applyFont="1" applyFill="1" applyBorder="1"/>
    <xf numFmtId="2" fontId="7" fillId="2" borderId="1" xfId="0" applyNumberFormat="1" applyFont="1" applyFill="1" applyBorder="1" applyAlignment="1">
      <alignment horizontal="justify" wrapText="1"/>
    </xf>
    <xf numFmtId="2" fontId="7" fillId="7" borderId="1" xfId="0" applyNumberFormat="1" applyFont="1" applyFill="1" applyBorder="1" applyAlignment="1">
      <alignment horizontal="justify" wrapText="1"/>
    </xf>
    <xf numFmtId="0" fontId="6" fillId="2" borderId="1" xfId="0" applyFont="1" applyFill="1" applyBorder="1"/>
    <xf numFmtId="0" fontId="0" fillId="0" borderId="0" xfId="0" applyFill="1" applyBorder="1"/>
    <xf numFmtId="0" fontId="5" fillId="2" borderId="1" xfId="0" applyFont="1" applyFill="1" applyBorder="1" applyAlignment="1">
      <alignment vertical="center" wrapText="1"/>
    </xf>
    <xf numFmtId="0" fontId="14" fillId="0" borderId="0" xfId="0" applyFont="1"/>
    <xf numFmtId="43" fontId="8" fillId="0" borderId="1" xfId="1" applyFont="1" applyBorder="1"/>
    <xf numFmtId="43" fontId="8" fillId="0" borderId="1" xfId="1" applyFont="1" applyBorder="1" applyAlignment="1">
      <alignment horizontal="right"/>
    </xf>
    <xf numFmtId="2" fontId="8" fillId="0" borderId="0" xfId="0" applyNumberFormat="1" applyFont="1" applyBorder="1"/>
    <xf numFmtId="49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wrapText="1"/>
    </xf>
    <xf numFmtId="43" fontId="8" fillId="2" borderId="1" xfId="1" applyFont="1" applyFill="1" applyBorder="1"/>
    <xf numFmtId="49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wrapText="1"/>
    </xf>
    <xf numFmtId="43" fontId="3" fillId="2" borderId="1" xfId="1" applyFont="1" applyFill="1" applyBorder="1"/>
    <xf numFmtId="0" fontId="3" fillId="4" borderId="0" xfId="0" applyFont="1" applyFill="1"/>
    <xf numFmtId="0" fontId="5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2" borderId="3" xfId="0" applyFill="1" applyBorder="1" applyAlignment="1"/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center" wrapText="1"/>
    </xf>
    <xf numFmtId="0" fontId="5" fillId="2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49" fontId="9" fillId="0" borderId="5" xfId="0" applyNumberFormat="1" applyFont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7"/>
  <sheetViews>
    <sheetView topLeftCell="A64" workbookViewId="0">
      <selection activeCell="E9" sqref="E9"/>
    </sheetView>
  </sheetViews>
  <sheetFormatPr defaultRowHeight="15.6"/>
  <cols>
    <col min="1" max="1" width="5.109375" style="1" customWidth="1"/>
    <col min="2" max="2" width="27" style="2" customWidth="1"/>
    <col min="3" max="3" width="8.88671875" style="1"/>
    <col min="4" max="7" width="8.88671875" style="3"/>
    <col min="8" max="8" width="8.88671875" style="46"/>
    <col min="9" max="9" width="8.88671875" style="3"/>
    <col min="10" max="16384" width="8.88671875" style="1"/>
  </cols>
  <sheetData>
    <row r="1" spans="1:9">
      <c r="A1" s="1" t="s">
        <v>0</v>
      </c>
      <c r="H1" s="11"/>
    </row>
    <row r="2" spans="1:9" ht="25.2" customHeight="1">
      <c r="A2" s="67" t="s">
        <v>11</v>
      </c>
      <c r="B2" s="67"/>
      <c r="C2" s="67"/>
      <c r="D2" s="67"/>
      <c r="E2" s="67"/>
      <c r="F2" s="67"/>
      <c r="H2" s="11"/>
    </row>
    <row r="3" spans="1:9" ht="34.200000000000003" customHeight="1">
      <c r="A3" s="68"/>
      <c r="B3" s="68"/>
      <c r="C3" s="68"/>
      <c r="D3" s="68"/>
      <c r="E3" s="68"/>
      <c r="F3" s="68"/>
      <c r="G3" s="5">
        <f>G9+G11+G23+G25+G37+G39+G50+G52+G62+G71+G82</f>
        <v>759.3993261249999</v>
      </c>
      <c r="H3" s="11"/>
      <c r="I3" s="52">
        <f>I9+I11+I23+I25+I37+I39+I50+I52+I62+I71+I82</f>
        <v>68538.999443750014</v>
      </c>
    </row>
    <row r="4" spans="1:9" ht="53.4">
      <c r="A4" s="3"/>
      <c r="B4" s="69" t="s">
        <v>4</v>
      </c>
      <c r="C4" s="70" t="s">
        <v>1</v>
      </c>
      <c r="D4" s="70"/>
      <c r="E4" s="70"/>
      <c r="F4" s="70"/>
      <c r="H4" s="45" t="s">
        <v>30</v>
      </c>
      <c r="I4" s="51">
        <f t="shared" ref="I4:I67" si="0">G4</f>
        <v>0</v>
      </c>
    </row>
    <row r="5" spans="1:9">
      <c r="A5" s="3"/>
      <c r="B5" s="69"/>
      <c r="C5" s="30">
        <v>2.4</v>
      </c>
      <c r="D5" s="3">
        <v>2</v>
      </c>
      <c r="E5" s="3">
        <v>1.6</v>
      </c>
      <c r="F5" s="3">
        <v>1.1000000000000001</v>
      </c>
      <c r="I5" s="51">
        <f t="shared" si="0"/>
        <v>0</v>
      </c>
    </row>
    <row r="6" spans="1:9" ht="19.2" customHeight="1">
      <c r="A6" s="3"/>
      <c r="B6" s="4" t="s">
        <v>2</v>
      </c>
      <c r="C6" s="30">
        <v>13.1</v>
      </c>
      <c r="D6" s="3">
        <v>9.17</v>
      </c>
      <c r="E6" s="3">
        <v>6.4</v>
      </c>
      <c r="F6" s="3">
        <v>3.17</v>
      </c>
      <c r="I6" s="51">
        <f t="shared" si="0"/>
        <v>0</v>
      </c>
    </row>
    <row r="7" spans="1:9" ht="20.399999999999999" customHeight="1">
      <c r="A7" s="3"/>
      <c r="B7" s="4" t="s">
        <v>3</v>
      </c>
      <c r="C7" s="30">
        <v>21.6</v>
      </c>
      <c r="D7" s="3">
        <v>15.2</v>
      </c>
      <c r="E7" s="3">
        <v>10.7</v>
      </c>
      <c r="F7" s="3">
        <v>5.18</v>
      </c>
      <c r="I7" s="51">
        <f t="shared" si="0"/>
        <v>0</v>
      </c>
    </row>
    <row r="8" spans="1:9" ht="23.4" customHeight="1">
      <c r="A8" s="3"/>
      <c r="B8" s="4" t="s">
        <v>5</v>
      </c>
      <c r="C8" s="31">
        <f>8.27*1.1</f>
        <v>9.0969999999999995</v>
      </c>
      <c r="D8" s="31">
        <f t="shared" ref="D8:F8" si="1">8.27*1.1</f>
        <v>9.0969999999999995</v>
      </c>
      <c r="E8" s="31">
        <f t="shared" si="1"/>
        <v>9.0969999999999995</v>
      </c>
      <c r="F8" s="31">
        <f t="shared" si="1"/>
        <v>9.0969999999999995</v>
      </c>
      <c r="I8" s="51">
        <f t="shared" si="0"/>
        <v>0</v>
      </c>
    </row>
    <row r="9" spans="1:9" ht="28.8" customHeight="1">
      <c r="A9" s="3"/>
      <c r="B9" s="13" t="s">
        <v>6</v>
      </c>
      <c r="C9" s="32">
        <f>C6*C8</f>
        <v>119.1707</v>
      </c>
      <c r="D9" s="14">
        <f>D6*D8</f>
        <v>83.419489999999996</v>
      </c>
      <c r="E9" s="14">
        <f>E6*E8</f>
        <v>58.220799999999997</v>
      </c>
      <c r="F9" s="14">
        <f>F6*F8</f>
        <v>28.837489999999999</v>
      </c>
      <c r="G9" s="15">
        <f>(C9*C15+D9*D15+E9*E15+F9*F15)/400</f>
        <v>82.949857374999993</v>
      </c>
      <c r="H9" s="47">
        <f>I9/I3</f>
        <v>0.36307733428357225</v>
      </c>
      <c r="I9" s="52">
        <f>G9*300</f>
        <v>24884.957212499998</v>
      </c>
    </row>
    <row r="10" spans="1:9" ht="16.2" customHeight="1">
      <c r="A10" s="3"/>
      <c r="B10" s="4" t="s">
        <v>8</v>
      </c>
      <c r="C10" s="31">
        <f>C9*0.3677</f>
        <v>43.819066390000003</v>
      </c>
      <c r="D10" s="5">
        <f>D9*0.3677</f>
        <v>30.673346473000002</v>
      </c>
      <c r="E10" s="5">
        <f>E9*0.3677</f>
        <v>21.407788159999999</v>
      </c>
      <c r="F10" s="5">
        <f>F9*0.3677</f>
        <v>10.603545073000001</v>
      </c>
      <c r="I10" s="51">
        <f t="shared" si="0"/>
        <v>0</v>
      </c>
    </row>
    <row r="11" spans="1:9" ht="24.6" customHeight="1">
      <c r="A11" s="3"/>
      <c r="B11" s="13" t="s">
        <v>7</v>
      </c>
      <c r="C11" s="32">
        <f>C7*C8</f>
        <v>196.49520000000001</v>
      </c>
      <c r="D11" s="32">
        <f t="shared" ref="D11:F11" si="2">D7*D8</f>
        <v>138.27439999999999</v>
      </c>
      <c r="E11" s="32">
        <f t="shared" si="2"/>
        <v>97.337899999999991</v>
      </c>
      <c r="F11" s="32">
        <f t="shared" si="2"/>
        <v>47.122459999999997</v>
      </c>
      <c r="G11" s="15">
        <f>(C11*C15+D11*D15+E11*E15+F11*F15)/400</f>
        <v>137.48750949999999</v>
      </c>
      <c r="H11" s="47">
        <f>I11/I3</f>
        <v>0.20059748554228027</v>
      </c>
      <c r="I11" s="52">
        <f>G11*100</f>
        <v>13748.750949999998</v>
      </c>
    </row>
    <row r="12" spans="1:9" ht="23.4" customHeight="1">
      <c r="A12" s="3"/>
      <c r="B12" s="4" t="s">
        <v>8</v>
      </c>
      <c r="C12" s="31">
        <f>C11*0.3677</f>
        <v>72.251285040000013</v>
      </c>
      <c r="D12" s="5">
        <f>D11*0.3677</f>
        <v>50.843496879999996</v>
      </c>
      <c r="E12" s="5">
        <f>E11*0.3677</f>
        <v>35.791145829999998</v>
      </c>
      <c r="F12" s="5">
        <f>F11*0.3677</f>
        <v>17.326928542000001</v>
      </c>
      <c r="I12" s="51">
        <f t="shared" si="0"/>
        <v>0</v>
      </c>
    </row>
    <row r="13" spans="1:9" s="9" customFormat="1" ht="25.8" customHeight="1">
      <c r="A13" s="6"/>
      <c r="B13" s="7" t="s">
        <v>9</v>
      </c>
      <c r="C13" s="33">
        <f>C9+C10</f>
        <v>162.98976639</v>
      </c>
      <c r="D13" s="8">
        <f>D9+D10</f>
        <v>114.09283647300001</v>
      </c>
      <c r="E13" s="8">
        <f>E9+E10</f>
        <v>79.628588159999993</v>
      </c>
      <c r="F13" s="8">
        <f>F9+F10</f>
        <v>39.441035073000002</v>
      </c>
      <c r="G13" s="15">
        <f>(C13*C15+D13*D15+E13*E15+F13*F15)/400</f>
        <v>113.4505199317875</v>
      </c>
      <c r="H13" s="48"/>
      <c r="I13" s="51">
        <f t="shared" si="0"/>
        <v>113.4505199317875</v>
      </c>
    </row>
    <row r="14" spans="1:9" s="9" customFormat="1" ht="27">
      <c r="A14" s="6"/>
      <c r="B14" s="7" t="s">
        <v>10</v>
      </c>
      <c r="C14" s="33">
        <f>C11+C12</f>
        <v>268.74648504000004</v>
      </c>
      <c r="D14" s="8">
        <f>D11+D12</f>
        <v>189.11789687999999</v>
      </c>
      <c r="E14" s="8">
        <f>E11+E12</f>
        <v>133.12904583</v>
      </c>
      <c r="F14" s="8">
        <f>F11+F12</f>
        <v>64.449388541999994</v>
      </c>
      <c r="G14" s="15">
        <f>(C14*C15+D14*D15+E14*E15+F14*F15)/400</f>
        <v>188.04166674314999</v>
      </c>
      <c r="H14" s="49"/>
      <c r="I14" s="51">
        <f t="shared" si="0"/>
        <v>188.04166674314999</v>
      </c>
    </row>
    <row r="15" spans="1:9">
      <c r="B15" s="2" t="s">
        <v>62</v>
      </c>
      <c r="C15" s="1">
        <v>20</v>
      </c>
      <c r="D15" s="3">
        <v>350</v>
      </c>
      <c r="E15" s="3">
        <v>25</v>
      </c>
      <c r="F15" s="3">
        <v>5</v>
      </c>
      <c r="I15" s="51">
        <f t="shared" si="0"/>
        <v>0</v>
      </c>
    </row>
    <row r="16" spans="1:9" ht="16.2">
      <c r="B16" s="10" t="s">
        <v>91</v>
      </c>
      <c r="I16" s="51">
        <f t="shared" si="0"/>
        <v>0</v>
      </c>
    </row>
    <row r="17" spans="2:9">
      <c r="I17" s="51">
        <f t="shared" si="0"/>
        <v>0</v>
      </c>
    </row>
    <row r="18" spans="2:9">
      <c r="B18" s="69" t="s">
        <v>4</v>
      </c>
      <c r="C18" s="70" t="s">
        <v>1</v>
      </c>
      <c r="D18" s="70"/>
      <c r="E18" s="70"/>
      <c r="F18" s="70"/>
      <c r="I18" s="51">
        <f t="shared" si="0"/>
        <v>0</v>
      </c>
    </row>
    <row r="19" spans="2:9">
      <c r="B19" s="69"/>
      <c r="C19" s="30">
        <v>2.4</v>
      </c>
      <c r="D19" s="3">
        <v>2</v>
      </c>
      <c r="E19" s="3">
        <v>1.6</v>
      </c>
      <c r="F19" s="3">
        <v>1.1000000000000001</v>
      </c>
      <c r="I19" s="51">
        <f t="shared" si="0"/>
        <v>0</v>
      </c>
    </row>
    <row r="20" spans="2:9">
      <c r="B20" s="4" t="s">
        <v>15</v>
      </c>
      <c r="C20" s="30">
        <f>1.7+C6*0.7</f>
        <v>10.87</v>
      </c>
      <c r="D20" s="30">
        <f t="shared" ref="D20:F20" si="3">1.7+D6*0.7</f>
        <v>8.1189999999999998</v>
      </c>
      <c r="E20" s="30">
        <f t="shared" si="3"/>
        <v>6.18</v>
      </c>
      <c r="F20" s="30">
        <f t="shared" si="3"/>
        <v>3.9189999999999996</v>
      </c>
      <c r="I20" s="51">
        <f t="shared" si="0"/>
        <v>0</v>
      </c>
    </row>
    <row r="21" spans="2:9">
      <c r="B21" s="4" t="s">
        <v>18</v>
      </c>
      <c r="C21" s="30">
        <f>1.7+C7*0.7</f>
        <v>16.82</v>
      </c>
      <c r="D21" s="30">
        <f t="shared" ref="D21:F21" si="4">1.7+D7*0.7</f>
        <v>12.339999999999998</v>
      </c>
      <c r="E21" s="30">
        <f t="shared" si="4"/>
        <v>9.19</v>
      </c>
      <c r="F21" s="30">
        <f t="shared" si="4"/>
        <v>5.3259999999999996</v>
      </c>
      <c r="I21" s="51">
        <f t="shared" si="0"/>
        <v>0</v>
      </c>
    </row>
    <row r="22" spans="2:9" ht="27">
      <c r="B22" s="4" t="s">
        <v>5</v>
      </c>
      <c r="C22" s="31">
        <f>C8</f>
        <v>9.0969999999999995</v>
      </c>
      <c r="D22" s="5">
        <f t="shared" ref="D22:F22" si="5">D8</f>
        <v>9.0969999999999995</v>
      </c>
      <c r="E22" s="5">
        <f t="shared" si="5"/>
        <v>9.0969999999999995</v>
      </c>
      <c r="F22" s="5">
        <f t="shared" si="5"/>
        <v>9.0969999999999995</v>
      </c>
      <c r="I22" s="51">
        <f t="shared" si="0"/>
        <v>0</v>
      </c>
    </row>
    <row r="23" spans="2:9" ht="27">
      <c r="B23" s="13" t="s">
        <v>13</v>
      </c>
      <c r="C23" s="32">
        <f>C20*C22</f>
        <v>98.884389999999982</v>
      </c>
      <c r="D23" s="14">
        <f>D20*D22</f>
        <v>73.858542999999997</v>
      </c>
      <c r="E23" s="14">
        <f>E20*E22</f>
        <v>56.219459999999998</v>
      </c>
      <c r="F23" s="14">
        <f>F20*F22</f>
        <v>35.651142999999998</v>
      </c>
      <c r="G23" s="15">
        <f>(C23*C29+D23*D29+E23*E29+F23*F29)/100</f>
        <v>73.568803549999998</v>
      </c>
      <c r="H23" s="46">
        <f>I23/I3</f>
        <v>8.050395119611202E-2</v>
      </c>
      <c r="I23" s="52">
        <f>G23*75</f>
        <v>5517.6602662499999</v>
      </c>
    </row>
    <row r="24" spans="2:9">
      <c r="B24" s="4" t="s">
        <v>8</v>
      </c>
      <c r="C24" s="31">
        <f>C23*0.3677</f>
        <v>36.359790202999996</v>
      </c>
      <c r="D24" s="5">
        <f>D23*0.3677</f>
        <v>27.1577862611</v>
      </c>
      <c r="E24" s="5">
        <f>E23*0.3677</f>
        <v>20.671895442</v>
      </c>
      <c r="F24" s="5">
        <f>F23*0.3677</f>
        <v>13.108925281099999</v>
      </c>
      <c r="I24" s="51">
        <f t="shared" si="0"/>
        <v>0</v>
      </c>
    </row>
    <row r="25" spans="2:9" ht="27">
      <c r="B25" s="13" t="s">
        <v>16</v>
      </c>
      <c r="C25" s="32">
        <f>C21*C22</f>
        <v>153.01154</v>
      </c>
      <c r="D25" s="32">
        <f t="shared" ref="D25:F25" si="6">D21*D22</f>
        <v>112.25697999999997</v>
      </c>
      <c r="E25" s="32">
        <f t="shared" si="6"/>
        <v>83.601429999999993</v>
      </c>
      <c r="F25" s="32">
        <f t="shared" si="6"/>
        <v>48.450621999999996</v>
      </c>
      <c r="G25" s="15">
        <f>(C25*C29+D25*D29+E25*E29+F25*F29)/100</f>
        <v>111.70934059999998</v>
      </c>
      <c r="H25" s="46">
        <f>I25/I3</f>
        <v>4.0746633853212241E-2</v>
      </c>
      <c r="I25" s="52">
        <f>G25*25</f>
        <v>2792.7335149999994</v>
      </c>
    </row>
    <row r="26" spans="2:9">
      <c r="B26" s="4" t="s">
        <v>8</v>
      </c>
      <c r="C26" s="31">
        <f>C25*0.3677</f>
        <v>56.262343258000001</v>
      </c>
      <c r="D26" s="5">
        <f>D25*0.3677</f>
        <v>41.276891545999995</v>
      </c>
      <c r="E26" s="5">
        <f>E25*0.3677</f>
        <v>30.740245811000001</v>
      </c>
      <c r="F26" s="5">
        <f>F25*0.3677</f>
        <v>17.815293709399999</v>
      </c>
      <c r="I26" s="51">
        <f t="shared" si="0"/>
        <v>0</v>
      </c>
    </row>
    <row r="27" spans="2:9" ht="27">
      <c r="B27" s="7" t="s">
        <v>14</v>
      </c>
      <c r="C27" s="33">
        <f>C23+C24</f>
        <v>135.24418020299998</v>
      </c>
      <c r="D27" s="8">
        <f>D23+D24</f>
        <v>101.0163292611</v>
      </c>
      <c r="E27" s="8">
        <f>E23+E24</f>
        <v>76.891355441999991</v>
      </c>
      <c r="F27" s="8">
        <f>F23+F24</f>
        <v>48.760068281099997</v>
      </c>
      <c r="G27" s="15">
        <f>(C27*C29+D27*D29+E27*E29+F27*F29)/100</f>
        <v>100.62005261533501</v>
      </c>
      <c r="I27" s="51">
        <f t="shared" si="0"/>
        <v>100.62005261533501</v>
      </c>
    </row>
    <row r="28" spans="2:9" s="9" customFormat="1" ht="27">
      <c r="B28" s="7" t="s">
        <v>17</v>
      </c>
      <c r="C28" s="33">
        <f>C25+C26</f>
        <v>209.27388325800001</v>
      </c>
      <c r="D28" s="8">
        <f>D25+D26</f>
        <v>153.53387154599997</v>
      </c>
      <c r="E28" s="8">
        <f>E25+E26</f>
        <v>114.34167581099999</v>
      </c>
      <c r="F28" s="8">
        <f>F25+F26</f>
        <v>66.265915709399991</v>
      </c>
      <c r="G28" s="15">
        <f>(C28*C29+D28*D29+E28*E29+F28*F29)/100</f>
        <v>152.78486513861998</v>
      </c>
      <c r="H28" s="49"/>
      <c r="I28" s="51">
        <f t="shared" si="0"/>
        <v>152.78486513861998</v>
      </c>
    </row>
    <row r="29" spans="2:9">
      <c r="C29" s="1">
        <v>10</v>
      </c>
      <c r="D29" s="3">
        <v>80</v>
      </c>
      <c r="E29" s="3">
        <v>5</v>
      </c>
      <c r="F29" s="3">
        <v>5</v>
      </c>
      <c r="I29" s="51">
        <f t="shared" si="0"/>
        <v>0</v>
      </c>
    </row>
    <row r="30" spans="2:9" ht="16.2">
      <c r="B30" s="10" t="s">
        <v>19</v>
      </c>
      <c r="C30" s="10"/>
      <c r="D30" s="53"/>
      <c r="E30" s="53"/>
      <c r="I30" s="51">
        <f t="shared" si="0"/>
        <v>0</v>
      </c>
    </row>
    <row r="31" spans="2:9">
      <c r="I31" s="51">
        <f t="shared" si="0"/>
        <v>0</v>
      </c>
    </row>
    <row r="32" spans="2:9">
      <c r="B32" s="69" t="s">
        <v>4</v>
      </c>
      <c r="C32" s="70" t="s">
        <v>1</v>
      </c>
      <c r="D32" s="70"/>
      <c r="E32" s="70"/>
      <c r="F32" s="70"/>
      <c r="I32" s="51">
        <f t="shared" si="0"/>
        <v>0</v>
      </c>
    </row>
    <row r="33" spans="2:9">
      <c r="B33" s="69"/>
      <c r="C33" s="30">
        <v>2.4</v>
      </c>
      <c r="D33" s="3">
        <v>2</v>
      </c>
      <c r="E33" s="3">
        <v>1.6</v>
      </c>
      <c r="F33" s="3">
        <v>1.1000000000000001</v>
      </c>
      <c r="I33" s="51">
        <f t="shared" si="0"/>
        <v>0</v>
      </c>
    </row>
    <row r="34" spans="2:9">
      <c r="B34" s="4" t="s">
        <v>2</v>
      </c>
      <c r="C34" s="30">
        <f>13.1*0.8</f>
        <v>10.48</v>
      </c>
      <c r="D34" s="5">
        <f>9.17*0.8</f>
        <v>7.3360000000000003</v>
      </c>
      <c r="E34" s="3">
        <f>6.4*0.8</f>
        <v>5.120000000000001</v>
      </c>
      <c r="F34" s="5">
        <f>3.17*0.8</f>
        <v>2.536</v>
      </c>
      <c r="I34" s="51">
        <f t="shared" si="0"/>
        <v>0</v>
      </c>
    </row>
    <row r="35" spans="2:9">
      <c r="B35" s="4" t="s">
        <v>3</v>
      </c>
      <c r="C35" s="30">
        <f>21.6*0.8</f>
        <v>17.28</v>
      </c>
      <c r="D35" s="3">
        <f>15.2*0.8</f>
        <v>12.16</v>
      </c>
      <c r="E35" s="3">
        <f>10.7*0.8</f>
        <v>8.56</v>
      </c>
      <c r="F35" s="3">
        <f>5.18*0.8</f>
        <v>4.1440000000000001</v>
      </c>
      <c r="I35" s="51">
        <f t="shared" si="0"/>
        <v>0</v>
      </c>
    </row>
    <row r="36" spans="2:9" ht="27">
      <c r="B36" s="4" t="s">
        <v>5</v>
      </c>
      <c r="C36" s="31">
        <f>C8</f>
        <v>9.0969999999999995</v>
      </c>
      <c r="D36" s="5">
        <f t="shared" ref="D36:F36" si="7">D8</f>
        <v>9.0969999999999995</v>
      </c>
      <c r="E36" s="5">
        <f t="shared" si="7"/>
        <v>9.0969999999999995</v>
      </c>
      <c r="F36" s="5">
        <f t="shared" si="7"/>
        <v>9.0969999999999995</v>
      </c>
      <c r="I36" s="51">
        <f t="shared" si="0"/>
        <v>0</v>
      </c>
    </row>
    <row r="37" spans="2:9" ht="27">
      <c r="B37" s="13" t="s">
        <v>6</v>
      </c>
      <c r="C37" s="32">
        <f>C34*C36</f>
        <v>95.336560000000006</v>
      </c>
      <c r="D37" s="14">
        <f>D34*D36</f>
        <v>66.735591999999997</v>
      </c>
      <c r="E37" s="14">
        <f>E34*E36</f>
        <v>46.576640000000005</v>
      </c>
      <c r="F37" s="14">
        <f>F34*F36</f>
        <v>23.069991999999999</v>
      </c>
      <c r="G37" s="15">
        <f>(C37*C43+D37*D43+E37*E43+F37*F43)/100</f>
        <v>66.4044612</v>
      </c>
      <c r="H37" s="46">
        <f>I37/I3</f>
        <v>7.2664244159084387E-2</v>
      </c>
      <c r="I37" s="52">
        <f>G37*75</f>
        <v>4980.3345900000004</v>
      </c>
    </row>
    <row r="38" spans="2:9">
      <c r="B38" s="4" t="s">
        <v>8</v>
      </c>
      <c r="C38" s="31">
        <f>C37*0.3677</f>
        <v>35.055253112000003</v>
      </c>
      <c r="D38" s="5">
        <f>D37*0.3677</f>
        <v>24.5386771784</v>
      </c>
      <c r="E38" s="5">
        <f>E37*0.3677</f>
        <v>17.126230528000004</v>
      </c>
      <c r="F38" s="5">
        <f>F37*0.3677</f>
        <v>8.4828360584000002</v>
      </c>
      <c r="I38" s="51">
        <f t="shared" si="0"/>
        <v>0</v>
      </c>
    </row>
    <row r="39" spans="2:9" ht="27">
      <c r="B39" s="13" t="s">
        <v>7</v>
      </c>
      <c r="C39" s="32">
        <f>C35*C36</f>
        <v>157.19615999999999</v>
      </c>
      <c r="D39" s="32">
        <f t="shared" ref="D39:F39" si="8">D35*D36</f>
        <v>110.61951999999999</v>
      </c>
      <c r="E39" s="32">
        <f t="shared" si="8"/>
        <v>77.870320000000007</v>
      </c>
      <c r="F39" s="32">
        <f t="shared" si="8"/>
        <v>37.697967999999996</v>
      </c>
      <c r="G39" s="15">
        <f>(C39*C43+D39*D43+E39*E43+F39*F43)/100</f>
        <v>109.9936464</v>
      </c>
      <c r="H39" s="46">
        <f>I39/I3</f>
        <v>4.0120824381989932E-2</v>
      </c>
      <c r="I39" s="52">
        <f>G39*25</f>
        <v>2749.8411599999999</v>
      </c>
    </row>
    <row r="40" spans="2:9">
      <c r="B40" s="4" t="s">
        <v>8</v>
      </c>
      <c r="C40" s="31">
        <f>C39*0.3677</f>
        <v>57.801028031999998</v>
      </c>
      <c r="D40" s="5">
        <f>D39*0.3677</f>
        <v>40.674797504000004</v>
      </c>
      <c r="E40" s="5">
        <f>E39*0.3677</f>
        <v>28.632916664000003</v>
      </c>
      <c r="F40" s="5">
        <f>F39*0.3677</f>
        <v>13.8615428336</v>
      </c>
      <c r="I40" s="51">
        <f t="shared" si="0"/>
        <v>0</v>
      </c>
    </row>
    <row r="41" spans="2:9" ht="27">
      <c r="B41" s="7" t="s">
        <v>9</v>
      </c>
      <c r="C41" s="33">
        <f>C37+C38</f>
        <v>130.39181311200002</v>
      </c>
      <c r="D41" s="8">
        <f>D37+D38</f>
        <v>91.274269178400004</v>
      </c>
      <c r="E41" s="8">
        <f>E37+E38</f>
        <v>63.702870528000005</v>
      </c>
      <c r="F41" s="8">
        <f>F37+F38</f>
        <v>31.552828058399999</v>
      </c>
      <c r="G41" s="15">
        <f>(C41*C43+D41*D43+E41*E43+F41*F43)/100</f>
        <v>90.821381583240012</v>
      </c>
      <c r="I41" s="51">
        <f t="shared" si="0"/>
        <v>90.821381583240012</v>
      </c>
    </row>
    <row r="42" spans="2:9" ht="27">
      <c r="B42" s="7" t="s">
        <v>10</v>
      </c>
      <c r="C42" s="33">
        <f>C39+C40</f>
        <v>214.997188032</v>
      </c>
      <c r="D42" s="8">
        <f>D39+D40</f>
        <v>151.29431750399999</v>
      </c>
      <c r="E42" s="8">
        <f>E39+E40</f>
        <v>106.50323666400001</v>
      </c>
      <c r="F42" s="8">
        <f>F39+F40</f>
        <v>51.559510833599994</v>
      </c>
      <c r="G42" s="15">
        <f>(C42*C43+D42*D43+E42*E43+F42*F43)/100</f>
        <v>150.43831018128</v>
      </c>
      <c r="H42" s="47"/>
      <c r="I42" s="51">
        <f t="shared" si="0"/>
        <v>150.43831018128</v>
      </c>
    </row>
    <row r="43" spans="2:9">
      <c r="B43" s="28" t="s">
        <v>62</v>
      </c>
      <c r="C43" s="30">
        <v>10</v>
      </c>
      <c r="D43" s="3">
        <v>80</v>
      </c>
      <c r="E43" s="3">
        <v>5</v>
      </c>
      <c r="F43" s="3">
        <v>5</v>
      </c>
      <c r="I43" s="51">
        <f t="shared" si="0"/>
        <v>0</v>
      </c>
    </row>
    <row r="44" spans="2:9" ht="34.799999999999997" customHeight="1">
      <c r="B44" s="74" t="s">
        <v>20</v>
      </c>
      <c r="C44" s="74"/>
      <c r="D44" s="74"/>
      <c r="E44" s="74"/>
      <c r="F44" s="74"/>
      <c r="I44" s="51">
        <f t="shared" si="0"/>
        <v>0</v>
      </c>
    </row>
    <row r="45" spans="2:9">
      <c r="B45" s="69" t="s">
        <v>4</v>
      </c>
      <c r="C45" s="71"/>
      <c r="D45" s="27"/>
      <c r="E45" s="27"/>
      <c r="F45" s="27"/>
      <c r="I45" s="51">
        <f t="shared" si="0"/>
        <v>0</v>
      </c>
    </row>
    <row r="46" spans="2:9">
      <c r="B46" s="69"/>
      <c r="C46" s="72"/>
      <c r="I46" s="51">
        <f t="shared" si="0"/>
        <v>0</v>
      </c>
    </row>
    <row r="47" spans="2:9">
      <c r="B47" s="4" t="s">
        <v>2</v>
      </c>
      <c r="C47" s="30">
        <v>4.7</v>
      </c>
      <c r="D47" s="5"/>
      <c r="F47" s="5"/>
      <c r="I47" s="51">
        <f t="shared" si="0"/>
        <v>0</v>
      </c>
    </row>
    <row r="48" spans="2:9">
      <c r="B48" s="4" t="s">
        <v>3</v>
      </c>
      <c r="C48" s="30">
        <v>5.9</v>
      </c>
      <c r="I48" s="51">
        <f t="shared" si="0"/>
        <v>0</v>
      </c>
    </row>
    <row r="49" spans="2:9" ht="27">
      <c r="B49" s="4" t="s">
        <v>5</v>
      </c>
      <c r="C49" s="31">
        <f>C8</f>
        <v>9.0969999999999995</v>
      </c>
      <c r="I49" s="51">
        <f t="shared" si="0"/>
        <v>0</v>
      </c>
    </row>
    <row r="50" spans="2:9" ht="27">
      <c r="B50" s="13" t="s">
        <v>6</v>
      </c>
      <c r="C50" s="32">
        <f>C47*C49</f>
        <v>42.755899999999997</v>
      </c>
      <c r="D50" s="5"/>
      <c r="E50" s="5"/>
      <c r="F50" s="5"/>
      <c r="G50" s="15">
        <f>(C50*C56+D50*D56+E50*E56+F50*F56)/100</f>
        <v>42.755900000000004</v>
      </c>
      <c r="H50" s="46">
        <f>I50/I3</f>
        <v>4.6786392069112913E-2</v>
      </c>
      <c r="I50" s="52">
        <f>G50*75</f>
        <v>3206.6925000000001</v>
      </c>
    </row>
    <row r="51" spans="2:9">
      <c r="B51" s="4" t="s">
        <v>8</v>
      </c>
      <c r="C51" s="31">
        <f>C50*0.3677</f>
        <v>15.72134443</v>
      </c>
      <c r="D51" s="5"/>
      <c r="E51" s="5"/>
      <c r="F51" s="5"/>
      <c r="I51" s="51">
        <f t="shared" si="0"/>
        <v>0</v>
      </c>
    </row>
    <row r="52" spans="2:9" ht="27">
      <c r="B52" s="13" t="s">
        <v>7</v>
      </c>
      <c r="C52" s="32">
        <f>C48*C49</f>
        <v>53.6723</v>
      </c>
      <c r="D52" s="5"/>
      <c r="E52" s="5"/>
      <c r="F52" s="5"/>
      <c r="G52" s="12">
        <f>C52</f>
        <v>53.6723</v>
      </c>
      <c r="H52" s="46">
        <f>I52/I3</f>
        <v>1.9577284624664269E-2</v>
      </c>
      <c r="I52" s="52">
        <f>G52*25</f>
        <v>1341.8074999999999</v>
      </c>
    </row>
    <row r="53" spans="2:9">
      <c r="B53" s="4" t="s">
        <v>8</v>
      </c>
      <c r="C53" s="31">
        <f>C52*0.3677</f>
        <v>19.735304710000001</v>
      </c>
      <c r="D53" s="5"/>
      <c r="E53" s="5"/>
      <c r="F53" s="5"/>
      <c r="I53" s="51">
        <f t="shared" si="0"/>
        <v>0</v>
      </c>
    </row>
    <row r="54" spans="2:9" ht="27">
      <c r="B54" s="7" t="s">
        <v>9</v>
      </c>
      <c r="C54" s="33">
        <f>C50+C51</f>
        <v>58.477244429999999</v>
      </c>
      <c r="D54" s="8"/>
      <c r="E54" s="8"/>
      <c r="F54" s="8"/>
      <c r="G54" s="12">
        <f>C54</f>
        <v>58.477244429999999</v>
      </c>
      <c r="I54" s="51">
        <f t="shared" si="0"/>
        <v>58.477244429999999</v>
      </c>
    </row>
    <row r="55" spans="2:9" ht="27">
      <c r="B55" s="7" t="s">
        <v>10</v>
      </c>
      <c r="C55" s="33">
        <f>C52+C53</f>
        <v>73.407604710000001</v>
      </c>
      <c r="D55" s="8"/>
      <c r="E55" s="8"/>
      <c r="F55" s="8"/>
      <c r="G55" s="12">
        <f>C55</f>
        <v>73.407604710000001</v>
      </c>
      <c r="H55" s="47"/>
      <c r="I55" s="51">
        <f t="shared" si="0"/>
        <v>73.407604710000001</v>
      </c>
    </row>
    <row r="56" spans="2:9">
      <c r="B56" s="2" t="s">
        <v>62</v>
      </c>
      <c r="C56" s="1">
        <v>100</v>
      </c>
      <c r="I56" s="51">
        <f t="shared" si="0"/>
        <v>0</v>
      </c>
    </row>
    <row r="57" spans="2:9" ht="16.2">
      <c r="B57" s="73" t="s">
        <v>21</v>
      </c>
      <c r="C57" s="73"/>
      <c r="D57" s="73"/>
      <c r="E57" s="73"/>
      <c r="F57" s="73"/>
      <c r="I57" s="51">
        <f t="shared" si="0"/>
        <v>0</v>
      </c>
    </row>
    <row r="58" spans="2:9">
      <c r="B58" s="69" t="s">
        <v>4</v>
      </c>
      <c r="C58" s="71"/>
      <c r="I58" s="51">
        <f t="shared" si="0"/>
        <v>0</v>
      </c>
    </row>
    <row r="59" spans="2:9">
      <c r="B59" s="69"/>
      <c r="C59" s="72"/>
      <c r="I59" s="51">
        <f t="shared" si="0"/>
        <v>0</v>
      </c>
    </row>
    <row r="60" spans="2:9">
      <c r="B60" s="4" t="s">
        <v>24</v>
      </c>
      <c r="C60" s="30">
        <v>0.08</v>
      </c>
      <c r="I60" s="51">
        <f t="shared" si="0"/>
        <v>0</v>
      </c>
    </row>
    <row r="61" spans="2:9">
      <c r="B61" s="4" t="s">
        <v>25</v>
      </c>
      <c r="C61" s="30">
        <f>13.81*1.1</f>
        <v>15.191000000000003</v>
      </c>
      <c r="I61" s="51">
        <f t="shared" si="0"/>
        <v>0</v>
      </c>
    </row>
    <row r="62" spans="2:9" ht="27">
      <c r="B62" s="13" t="s">
        <v>26</v>
      </c>
      <c r="C62" s="32">
        <f>C60*C61</f>
        <v>1.2152800000000001</v>
      </c>
      <c r="G62" s="12">
        <f>C62</f>
        <v>1.2152800000000001</v>
      </c>
      <c r="H62" s="46">
        <f>I62/I3</f>
        <v>7.0924875464362797E-3</v>
      </c>
      <c r="I62" s="52">
        <f>G62*400</f>
        <v>486.11200000000008</v>
      </c>
    </row>
    <row r="63" spans="2:9">
      <c r="B63" s="4" t="s">
        <v>8</v>
      </c>
      <c r="C63" s="31">
        <f>C62*0.3677</f>
        <v>0.44685845600000007</v>
      </c>
      <c r="I63" s="51">
        <f t="shared" si="0"/>
        <v>0</v>
      </c>
    </row>
    <row r="64" spans="2:9" ht="27">
      <c r="B64" s="7" t="s">
        <v>28</v>
      </c>
      <c r="C64" s="33">
        <f>C62+C63</f>
        <v>1.6621384560000001</v>
      </c>
      <c r="G64" s="12">
        <f>C64</f>
        <v>1.6621384560000001</v>
      </c>
      <c r="H64" s="47"/>
      <c r="I64" s="51">
        <f t="shared" si="0"/>
        <v>1.6621384560000001</v>
      </c>
    </row>
    <row r="65" spans="2:9">
      <c r="B65" s="2" t="s">
        <v>62</v>
      </c>
      <c r="C65" s="1">
        <v>400</v>
      </c>
      <c r="I65" s="51">
        <f t="shared" si="0"/>
        <v>0</v>
      </c>
    </row>
    <row r="66" spans="2:9" ht="16.2">
      <c r="B66" s="73" t="s">
        <v>22</v>
      </c>
      <c r="C66" s="73"/>
      <c r="D66" s="73"/>
      <c r="E66" s="73"/>
      <c r="F66" s="73"/>
      <c r="I66" s="51">
        <f t="shared" si="0"/>
        <v>0</v>
      </c>
    </row>
    <row r="67" spans="2:9">
      <c r="B67" s="69" t="s">
        <v>4</v>
      </c>
      <c r="C67" s="71"/>
      <c r="I67" s="51">
        <f t="shared" si="0"/>
        <v>0</v>
      </c>
    </row>
    <row r="68" spans="2:9">
      <c r="B68" s="69"/>
      <c r="C68" s="72"/>
      <c r="I68" s="51">
        <f t="shared" ref="I68:I87" si="9">G68</f>
        <v>0</v>
      </c>
    </row>
    <row r="69" spans="2:9">
      <c r="B69" s="4" t="s">
        <v>23</v>
      </c>
      <c r="C69" s="30">
        <v>0.19</v>
      </c>
      <c r="I69" s="51">
        <f t="shared" si="9"/>
        <v>0</v>
      </c>
    </row>
    <row r="70" spans="2:9">
      <c r="B70" s="4" t="s">
        <v>25</v>
      </c>
      <c r="C70" s="30">
        <f>13.81*1.1</f>
        <v>15.191000000000003</v>
      </c>
      <c r="I70" s="51">
        <f t="shared" si="9"/>
        <v>0</v>
      </c>
    </row>
    <row r="71" spans="2:9" ht="27">
      <c r="B71" s="13" t="s">
        <v>27</v>
      </c>
      <c r="C71" s="32">
        <f>C69*C70</f>
        <v>2.8862900000000007</v>
      </c>
      <c r="G71" s="12">
        <f>C71</f>
        <v>2.8862900000000007</v>
      </c>
      <c r="H71" s="46">
        <f>I71/I3</f>
        <v>1.6844657922786166E-2</v>
      </c>
      <c r="I71" s="52">
        <f>G71*400</f>
        <v>1154.5160000000003</v>
      </c>
    </row>
    <row r="72" spans="2:9">
      <c r="B72" s="4" t="s">
        <v>8</v>
      </c>
      <c r="C72" s="31">
        <f>C71*0.3677</f>
        <v>1.0612888330000003</v>
      </c>
      <c r="I72" s="51">
        <f t="shared" si="9"/>
        <v>0</v>
      </c>
    </row>
    <row r="73" spans="2:9" ht="27">
      <c r="B73" s="7" t="s">
        <v>9</v>
      </c>
      <c r="C73" s="33">
        <f>C71+C72</f>
        <v>3.947578833000001</v>
      </c>
      <c r="G73" s="12">
        <f>C73</f>
        <v>3.947578833000001</v>
      </c>
      <c r="H73" s="47"/>
      <c r="I73" s="51">
        <f t="shared" si="9"/>
        <v>3.947578833000001</v>
      </c>
    </row>
    <row r="74" spans="2:9">
      <c r="B74" s="2" t="s">
        <v>61</v>
      </c>
      <c r="C74" s="1">
        <v>400</v>
      </c>
      <c r="I74" s="51">
        <f t="shared" si="9"/>
        <v>0</v>
      </c>
    </row>
    <row r="75" spans="2:9">
      <c r="I75" s="51">
        <f t="shared" si="9"/>
        <v>0</v>
      </c>
    </row>
    <row r="76" spans="2:9" ht="16.2">
      <c r="B76" s="10" t="s">
        <v>90</v>
      </c>
      <c r="I76" s="51">
        <f t="shared" si="9"/>
        <v>0</v>
      </c>
    </row>
    <row r="77" spans="2:9">
      <c r="I77" s="51">
        <f t="shared" si="9"/>
        <v>0</v>
      </c>
    </row>
    <row r="78" spans="2:9">
      <c r="B78" s="69" t="s">
        <v>4</v>
      </c>
      <c r="C78" s="71"/>
      <c r="I78" s="51">
        <f t="shared" si="9"/>
        <v>0</v>
      </c>
    </row>
    <row r="79" spans="2:9">
      <c r="B79" s="69"/>
      <c r="C79" s="72"/>
      <c r="I79" s="51">
        <f t="shared" si="9"/>
        <v>0</v>
      </c>
    </row>
    <row r="80" spans="2:9" ht="40.200000000000003">
      <c r="B80" s="4" t="s">
        <v>29</v>
      </c>
      <c r="C80" s="31">
        <f>(1.35+5.4)*1.25</f>
        <v>8.4375</v>
      </c>
      <c r="I80" s="51">
        <f t="shared" si="9"/>
        <v>0</v>
      </c>
    </row>
    <row r="81" spans="2:9">
      <c r="B81" s="4" t="s">
        <v>25</v>
      </c>
      <c r="C81" s="31">
        <f>C8</f>
        <v>9.0969999999999995</v>
      </c>
      <c r="I81" s="51">
        <f t="shared" si="9"/>
        <v>0</v>
      </c>
    </row>
    <row r="82" spans="2:9" ht="27">
      <c r="B82" s="13" t="s">
        <v>27</v>
      </c>
      <c r="C82" s="32">
        <f>C80*C81</f>
        <v>76.755937500000002</v>
      </c>
      <c r="G82" s="12">
        <f>C82</f>
        <v>76.755937500000002</v>
      </c>
      <c r="H82" s="46">
        <f>I82/I3</f>
        <v>0.111988704420749</v>
      </c>
      <c r="I82" s="52">
        <f>G82*100</f>
        <v>7675.59375</v>
      </c>
    </row>
    <row r="83" spans="2:9">
      <c r="B83" s="4" t="s">
        <v>8</v>
      </c>
      <c r="C83" s="31">
        <f>C82*0.3677</f>
        <v>28.223158218750001</v>
      </c>
      <c r="I83" s="51">
        <f t="shared" si="9"/>
        <v>0</v>
      </c>
    </row>
    <row r="84" spans="2:9" ht="27">
      <c r="B84" s="7" t="s">
        <v>9</v>
      </c>
      <c r="C84" s="33">
        <f>C82+C83</f>
        <v>104.97909571875</v>
      </c>
      <c r="G84" s="12">
        <f>C84</f>
        <v>104.97909571875</v>
      </c>
      <c r="H84" s="47"/>
      <c r="I84" s="51">
        <f t="shared" si="9"/>
        <v>104.97909571875</v>
      </c>
    </row>
    <row r="85" spans="2:9">
      <c r="B85" s="2" t="s">
        <v>62</v>
      </c>
      <c r="C85" s="1">
        <v>100</v>
      </c>
      <c r="I85" s="51">
        <f t="shared" si="9"/>
        <v>0</v>
      </c>
    </row>
    <row r="86" spans="2:9">
      <c r="H86" s="47"/>
      <c r="I86" s="51">
        <f t="shared" si="9"/>
        <v>0</v>
      </c>
    </row>
    <row r="87" spans="2:9">
      <c r="H87" s="50"/>
      <c r="I87" s="51">
        <f t="shared" si="9"/>
        <v>0</v>
      </c>
    </row>
  </sheetData>
  <mergeCells count="19">
    <mergeCell ref="B78:B79"/>
    <mergeCell ref="C78:C79"/>
    <mergeCell ref="B57:F57"/>
    <mergeCell ref="B32:B33"/>
    <mergeCell ref="C32:F32"/>
    <mergeCell ref="B44:F44"/>
    <mergeCell ref="B45:B46"/>
    <mergeCell ref="C45:C46"/>
    <mergeCell ref="B58:B59"/>
    <mergeCell ref="C58:C59"/>
    <mergeCell ref="B67:B68"/>
    <mergeCell ref="C67:C68"/>
    <mergeCell ref="B66:F66"/>
    <mergeCell ref="A2:F2"/>
    <mergeCell ref="A3:F3"/>
    <mergeCell ref="B4:B5"/>
    <mergeCell ref="C4:F4"/>
    <mergeCell ref="B18:B19"/>
    <mergeCell ref="C18:F18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"/>
  <sheetViews>
    <sheetView tabSelected="1" workbookViewId="0">
      <pane xSplit="2" topLeftCell="C1" activePane="topRight" state="frozen"/>
      <selection pane="topRight" activeCell="B3" sqref="B3:B4"/>
    </sheetView>
  </sheetViews>
  <sheetFormatPr defaultRowHeight="13.8"/>
  <cols>
    <col min="1" max="1" width="7.77734375" style="19" customWidth="1"/>
    <col min="2" max="2" width="36.5546875" style="16" customWidth="1"/>
    <col min="3" max="3" width="15.44140625" style="16" customWidth="1"/>
    <col min="4" max="4" width="15.21875" style="16" customWidth="1"/>
    <col min="5" max="5" width="13.88671875" style="16" customWidth="1"/>
    <col min="6" max="6" width="12.77734375" style="16" customWidth="1"/>
    <col min="7" max="7" width="11.77734375" style="16" customWidth="1"/>
    <col min="8" max="8" width="15.6640625" style="16" customWidth="1"/>
    <col min="9" max="10" width="13.109375" style="16" customWidth="1"/>
    <col min="11" max="11" width="13.6640625" style="16" customWidth="1"/>
    <col min="12" max="12" width="13.21875" style="16" customWidth="1"/>
    <col min="13" max="13" width="13.44140625" style="16" customWidth="1"/>
    <col min="14" max="14" width="10.21875" style="16" customWidth="1"/>
    <col min="15" max="16384" width="8.88671875" style="16"/>
  </cols>
  <sheetData>
    <row r="1" spans="1:16" ht="20.399999999999999">
      <c r="B1" s="76" t="s">
        <v>88</v>
      </c>
      <c r="C1" s="76"/>
      <c r="D1" s="76"/>
      <c r="E1" s="76"/>
      <c r="F1" s="76"/>
      <c r="G1" s="76"/>
      <c r="H1" s="76"/>
      <c r="I1" s="76"/>
    </row>
    <row r="2" spans="1:16">
      <c r="G2" s="18"/>
    </row>
    <row r="3" spans="1:16" s="21" customFormat="1" ht="64.2" customHeight="1">
      <c r="A3" s="77" t="s">
        <v>31</v>
      </c>
      <c r="B3" s="79" t="s">
        <v>32</v>
      </c>
      <c r="C3" s="81" t="s">
        <v>11</v>
      </c>
      <c r="D3" s="81"/>
      <c r="E3" s="75" t="s">
        <v>12</v>
      </c>
      <c r="F3" s="75"/>
      <c r="G3" s="75" t="s">
        <v>19</v>
      </c>
      <c r="H3" s="75"/>
      <c r="I3" s="75" t="s">
        <v>20</v>
      </c>
      <c r="J3" s="75"/>
      <c r="K3" s="55" t="s">
        <v>21</v>
      </c>
      <c r="L3" s="55" t="s">
        <v>22</v>
      </c>
      <c r="M3" s="55" t="s">
        <v>64</v>
      </c>
      <c r="N3" s="20"/>
      <c r="O3" s="20"/>
      <c r="P3" s="20"/>
    </row>
    <row r="4" spans="1:16" ht="82.8">
      <c r="A4" s="78"/>
      <c r="B4" s="80"/>
      <c r="C4" s="24" t="s">
        <v>59</v>
      </c>
      <c r="D4" s="24" t="s">
        <v>60</v>
      </c>
      <c r="E4" s="24" t="s">
        <v>59</v>
      </c>
      <c r="F4" s="24" t="s">
        <v>60</v>
      </c>
      <c r="G4" s="24" t="s">
        <v>59</v>
      </c>
      <c r="H4" s="24" t="s">
        <v>60</v>
      </c>
      <c r="I4" s="25" t="s">
        <v>85</v>
      </c>
      <c r="J4" s="25" t="s">
        <v>86</v>
      </c>
      <c r="K4" s="25" t="s">
        <v>63</v>
      </c>
      <c r="L4" s="25" t="s">
        <v>63</v>
      </c>
      <c r="M4" s="25" t="s">
        <v>63</v>
      </c>
    </row>
    <row r="5" spans="1:16">
      <c r="B5" s="24" t="s">
        <v>33</v>
      </c>
      <c r="C5" s="57">
        <f>C6+C11</f>
        <v>263459.27355763956</v>
      </c>
      <c r="D5" s="57">
        <f>D6+D11</f>
        <v>145638.09403338574</v>
      </c>
      <c r="E5" s="57">
        <f t="shared" ref="E5:M5" si="0">E6+E11</f>
        <v>58388.753697332286</v>
      </c>
      <c r="F5" s="57">
        <f t="shared" si="0"/>
        <v>29569.446451900447</v>
      </c>
      <c r="G5" s="57">
        <f t="shared" si="0"/>
        <v>52702.688399380102</v>
      </c>
      <c r="H5" s="57">
        <f t="shared" si="0"/>
        <v>29115.302442972912</v>
      </c>
      <c r="I5" s="57">
        <f t="shared" si="0"/>
        <v>33917.773096193312</v>
      </c>
      <c r="J5" s="57">
        <f t="shared" si="0"/>
        <v>14200.374266157707</v>
      </c>
      <c r="K5" s="57">
        <f t="shared" si="0"/>
        <v>5361.394045787385</v>
      </c>
      <c r="L5" s="57">
        <f t="shared" si="0"/>
        <v>12045.810858745041</v>
      </c>
      <c r="M5" s="57">
        <f t="shared" si="0"/>
        <v>81253.688195611408</v>
      </c>
      <c r="N5" s="18">
        <f t="shared" ref="N5:N6" si="1">M5+J5+I5+I5+H5+G5+F5++E5+D5+C5+K5+L5</f>
        <v>759570.37214129919</v>
      </c>
    </row>
    <row r="6" spans="1:16">
      <c r="A6" s="26">
        <v>1</v>
      </c>
      <c r="B6" s="24" t="s">
        <v>34</v>
      </c>
      <c r="C6" s="57">
        <f>C7+C8+C9+C10</f>
        <v>233079.52555077028</v>
      </c>
      <c r="D6" s="57">
        <f>D7+D8+D9+D10</f>
        <v>128853.51266145566</v>
      </c>
      <c r="E6" s="57">
        <f t="shared" ref="E6:M6" si="2">E7+E8+E9+E10</f>
        <v>51652.751419137079</v>
      </c>
      <c r="F6" s="57">
        <f>F7+F8+F9+F10</f>
        <v>26160.055802298652</v>
      </c>
      <c r="G6" s="57">
        <f t="shared" si="2"/>
        <v>46622.657457711684</v>
      </c>
      <c r="H6" s="57">
        <f t="shared" si="2"/>
        <v>25758.275111708132</v>
      </c>
      <c r="I6" s="57">
        <f t="shared" si="2"/>
        <v>30003.018119777953</v>
      </c>
      <c r="J6" s="57">
        <f t="shared" si="2"/>
        <v>12562.285304395251</v>
      </c>
      <c r="K6" s="57">
        <f t="shared" si="2"/>
        <v>5036.141077892873</v>
      </c>
      <c r="L6" s="57">
        <f t="shared" si="2"/>
        <v>11273.335059995574</v>
      </c>
      <c r="M6" s="57">
        <f t="shared" si="2"/>
        <v>71883.264049936348</v>
      </c>
      <c r="N6" s="18">
        <f t="shared" si="1"/>
        <v>672887.83973485744</v>
      </c>
    </row>
    <row r="7" spans="1:16">
      <c r="A7" s="26" t="s">
        <v>35</v>
      </c>
      <c r="B7" s="24" t="s">
        <v>37</v>
      </c>
      <c r="C7" s="57">
        <f>(1145+1198.76+42)*C20+C20*Лист3!B2</f>
        <v>33517.033898493457</v>
      </c>
      <c r="D7" s="57">
        <f>(1145+1598.76+35)*D20+ Лист3!B2*D20</f>
        <v>18596.742948771647</v>
      </c>
      <c r="E7" s="57">
        <f>(814+1198.76+35)*E20+ E20*Лист3!B2</f>
        <v>7404.4120942653117</v>
      </c>
      <c r="F7" s="57">
        <f>(814+1598.76+35)*F20+ F20*Лист3!B2</f>
        <v>3764.0012696322092</v>
      </c>
      <c r="G7" s="57">
        <f>(814+1198.76+35)*G20+ G20*Лист3!B2</f>
        <v>6683.3490813573471</v>
      </c>
      <c r="H7" s="57">
        <f>(814+1598.76+35)*H20+ H20*Лист3!B2</f>
        <v>3706.1916441128506</v>
      </c>
      <c r="I7" s="57">
        <f>(473+1198.76+35)*I20+ I20*Лист3!B2</f>
        <v>4287.2598085190648</v>
      </c>
      <c r="J7" s="57">
        <f>(473+1598.76+35)*J20+ J20*Лист3!B2</f>
        <v>1801.7906918826661</v>
      </c>
      <c r="K7" s="57">
        <f>500+K20*Лист3!B2</f>
        <v>1137.8132200759219</v>
      </c>
      <c r="L7" s="57">
        <f>500+L20*Лист3!B2</f>
        <v>2014.8063976803144</v>
      </c>
      <c r="M7" s="57">
        <f>(1076+1198.76+35)*M20+M20*Лист3!B2</f>
        <v>10329.587241071986</v>
      </c>
      <c r="N7" s="18">
        <f>M7+J7+I7+I7+H7+G7+F7++E7+D7+C7+K7+L7</f>
        <v>97530.248104381855</v>
      </c>
    </row>
    <row r="8" spans="1:16">
      <c r="A8" s="26" t="s">
        <v>36</v>
      </c>
      <c r="B8" s="24" t="s">
        <v>39</v>
      </c>
      <c r="C8" s="57">
        <f>C18*Лист1!G9</f>
        <v>24884.957212499998</v>
      </c>
      <c r="D8" s="57">
        <f>D18*Лист1!G11</f>
        <v>13748.750949999998</v>
      </c>
      <c r="E8" s="57">
        <f>Лист1!G23*Лист2!E18</f>
        <v>5517.6602662499999</v>
      </c>
      <c r="F8" s="57">
        <f>Лист1!G25*Лист2!F18</f>
        <v>2792.7335149999994</v>
      </c>
      <c r="G8" s="57">
        <f>G18*Лист1!G37</f>
        <v>4980.3345900000004</v>
      </c>
      <c r="H8" s="57">
        <f>H18*Лист1!G39</f>
        <v>2749.8411599999999</v>
      </c>
      <c r="I8" s="57">
        <f>I18*Лист1!G50</f>
        <v>3206.6925000000001</v>
      </c>
      <c r="J8" s="57">
        <f>J18*Лист1!G52</f>
        <v>1341.8074999999999</v>
      </c>
      <c r="K8" s="57">
        <f>K18*Лист1!G62</f>
        <v>486.11200000000008</v>
      </c>
      <c r="L8" s="57">
        <f>L18*Лист1!G71</f>
        <v>1154.5160000000003</v>
      </c>
      <c r="M8" s="57">
        <f>M18*Лист1!G82</f>
        <v>7675.59375</v>
      </c>
      <c r="N8" s="18">
        <f t="shared" ref="N8:N17" si="3">M8+J8+I8+I8+H8+G8+F8++E8+D8+C8+K8+L8</f>
        <v>71745.691943749989</v>
      </c>
    </row>
    <row r="9" spans="1:16" ht="52.8" customHeight="1">
      <c r="A9" s="26" t="s">
        <v>38</v>
      </c>
      <c r="B9" s="24" t="s">
        <v>41</v>
      </c>
      <c r="C9" s="57">
        <f>C18*(Лист1!G13-Лист1!G9)+1485.72*Лист2!C20</f>
        <v>9689.6300241280387</v>
      </c>
      <c r="D9" s="57">
        <f>D18*(Лист1!G14-Лист1!G11)+1485.72*D20</f>
        <v>5353.447420534877</v>
      </c>
      <c r="E9" s="57">
        <f>E18*(Лист1!G27-Лист1!G23)+1485.72*E20</f>
        <v>2148.4500102712136</v>
      </c>
      <c r="F9" s="57">
        <f>F18*(Лист1!G28-Лист1!G25)+1485.72*F20</f>
        <v>1087.4262023138945</v>
      </c>
      <c r="G9" s="57">
        <f>G18*(Лист1!G41-Лист1!G37)+ 1485.72*Лист2!G20</f>
        <v>1939.2277495750359</v>
      </c>
      <c r="H9" s="57">
        <f>H18*(Лист1!G42-Лист1!G39)+1485.72*Лист2!H20</f>
        <v>1070.7249057328102</v>
      </c>
      <c r="I9" s="57">
        <f>I18*(Лист1!G54-Лист1!G50)+1485.72*I20</f>
        <v>1248.6123106749221</v>
      </c>
      <c r="J9" s="57">
        <f>J18*(Лист1!G55-Лист1!G52)+1485.72*J20</f>
        <v>522.46898106255617</v>
      </c>
      <c r="K9" s="57">
        <f>K18*(Лист1!G64-Лист1!G62)+K20*1485.72</f>
        <v>189.28083299749127</v>
      </c>
      <c r="L9" s="58">
        <f>L18*(Лист1!G73-Лист1!G71)+1485.72*L20</f>
        <v>449.541978369042</v>
      </c>
      <c r="M9" s="57">
        <f>M18*(Лист1!G84-Лист1!G82)+1485.72*Лист2!M20</f>
        <v>2988.6996798069954</v>
      </c>
      <c r="N9" s="18">
        <f t="shared" si="3"/>
        <v>27936.122406141796</v>
      </c>
    </row>
    <row r="10" spans="1:16" ht="41.4">
      <c r="A10" s="26" t="s">
        <v>40</v>
      </c>
      <c r="B10" s="24" t="s">
        <v>65</v>
      </c>
      <c r="C10" s="57">
        <f>C20*Лист3!B12</f>
        <v>164987.90441564878</v>
      </c>
      <c r="D10" s="57">
        <f>D20*Лист3!B12</f>
        <v>91154.571342149153</v>
      </c>
      <c r="E10" s="57">
        <f>E20*Лист3!B12</f>
        <v>36582.229048350557</v>
      </c>
      <c r="F10" s="57">
        <f>F20*Лист3!B12</f>
        <v>18515.894815352549</v>
      </c>
      <c r="G10" s="57">
        <f>G20*Лист3!B12</f>
        <v>33019.746036779303</v>
      </c>
      <c r="H10" s="57">
        <f>H20*Лист3!B12</f>
        <v>18231.517401862471</v>
      </c>
      <c r="I10" s="57">
        <f>I20*Лист3!B12</f>
        <v>21260.453500583968</v>
      </c>
      <c r="J10" s="57">
        <f>J20*Лист3!B12</f>
        <v>8896.2181314500285</v>
      </c>
      <c r="K10" s="57">
        <f>K20*Лист3!B12</f>
        <v>3222.9350248194596</v>
      </c>
      <c r="L10" s="57">
        <f>L20*Лист3!B12</f>
        <v>7654.4706839462178</v>
      </c>
      <c r="M10" s="57">
        <f>M20*Лист3!B12</f>
        <v>50889.38337905737</v>
      </c>
      <c r="N10" s="18">
        <f t="shared" si="3"/>
        <v>475675.7772805838</v>
      </c>
    </row>
    <row r="11" spans="1:16">
      <c r="A11" s="26"/>
      <c r="B11" s="24" t="s">
        <v>43</v>
      </c>
      <c r="C11" s="57">
        <f>C12+C13+C14</f>
        <v>30379.748006869282</v>
      </c>
      <c r="D11" s="57">
        <f>D12+D13+D14</f>
        <v>16784.581371930082</v>
      </c>
      <c r="E11" s="57">
        <f t="shared" ref="E11:F11" si="4">E12+E13+E14</f>
        <v>6736.0022781952093</v>
      </c>
      <c r="F11" s="57">
        <f t="shared" si="4"/>
        <v>3409.3906496017967</v>
      </c>
      <c r="G11" s="57">
        <f t="shared" ref="G11:M11" si="5">G12+G13+G14</f>
        <v>6080.0309416684177</v>
      </c>
      <c r="H11" s="57">
        <f t="shared" si="5"/>
        <v>3357.027331264781</v>
      </c>
      <c r="I11" s="57">
        <f t="shared" si="5"/>
        <v>3914.7549764153609</v>
      </c>
      <c r="J11" s="57">
        <f t="shared" si="5"/>
        <v>1638.0889617624559</v>
      </c>
      <c r="K11" s="57">
        <f t="shared" si="5"/>
        <v>325.25296789451204</v>
      </c>
      <c r="L11" s="57">
        <f t="shared" si="5"/>
        <v>772.47579874946621</v>
      </c>
      <c r="M11" s="57">
        <f t="shared" si="5"/>
        <v>9370.424145675066</v>
      </c>
      <c r="N11" s="18">
        <f t="shared" si="3"/>
        <v>86682.532406441795</v>
      </c>
    </row>
    <row r="12" spans="1:16">
      <c r="A12" s="26" t="s">
        <v>42</v>
      </c>
      <c r="B12" s="24" t="s">
        <v>45</v>
      </c>
      <c r="C12" s="57">
        <f>C20*Лист3!F6</f>
        <v>30041.926331958475</v>
      </c>
      <c r="D12" s="57">
        <f>D20*Лист3!F6</f>
        <v>16597.937447482123</v>
      </c>
      <c r="E12" s="57">
        <f>E20*Лист3!F6</f>
        <v>6661.0981818442988</v>
      </c>
      <c r="F12" s="57">
        <f>F20*Лист3!F6</f>
        <v>3371.4783515994141</v>
      </c>
      <c r="G12" s="57">
        <f>G20*Лист3!F6</f>
        <v>6012.4212223330396</v>
      </c>
      <c r="H12" s="57">
        <f>H20*Лист3!F6</f>
        <v>3319.6973114268021</v>
      </c>
      <c r="I12" s="57">
        <f>I20*Лист3!F6</f>
        <v>3871.2230457785754</v>
      </c>
      <c r="J12" s="57">
        <f>Лист2!J20*Лист3!F6</f>
        <v>1619.8734730562833</v>
      </c>
      <c r="K12" s="57">
        <f>K20*Лист3!I6</f>
        <v>318.65383378180587</v>
      </c>
      <c r="L12" s="57">
        <f>L20*Лист3!I6</f>
        <v>756.80285523178907</v>
      </c>
      <c r="M12" s="57">
        <f>M20*Лист3!F6</f>
        <v>9266.2253755338243</v>
      </c>
      <c r="N12" s="18">
        <f t="shared" si="3"/>
        <v>85708.560475805003</v>
      </c>
    </row>
    <row r="13" spans="1:16">
      <c r="A13" s="26" t="s">
        <v>44</v>
      </c>
      <c r="B13" s="24" t="s">
        <v>47</v>
      </c>
      <c r="C13" s="57">
        <f>C20*Лист3!F12</f>
        <v>337.82167491080696</v>
      </c>
      <c r="D13" s="57">
        <f>D20*Лист3!F12</f>
        <v>186.64392444795925</v>
      </c>
      <c r="E13" s="57">
        <f>E20*Лист3!F12</f>
        <v>74.904096350910478</v>
      </c>
      <c r="F13" s="57">
        <f>F20*Лист3!F12</f>
        <v>37.912298002382798</v>
      </c>
      <c r="G13" s="57">
        <f>G20*Лист3!F12</f>
        <v>67.609719335378486</v>
      </c>
      <c r="H13" s="57">
        <f>H20*Лист3!F12</f>
        <v>37.330019837978718</v>
      </c>
      <c r="I13" s="57">
        <f>I20*Лист3!F12</f>
        <v>43.531930636785418</v>
      </c>
      <c r="J13" s="57">
        <f>J20*Лист3!F12</f>
        <v>18.215488706172621</v>
      </c>
      <c r="K13" s="57">
        <f>K20*Лист3!F12</f>
        <v>6.5991341127061727</v>
      </c>
      <c r="L13" s="57">
        <f>L20*Лист3!F12</f>
        <v>15.672943517677162</v>
      </c>
      <c r="M13" s="57">
        <f>M20*Лист3!F12</f>
        <v>104.19877014124171</v>
      </c>
      <c r="N13" s="18">
        <f t="shared" si="3"/>
        <v>973.97193063678515</v>
      </c>
    </row>
    <row r="14" spans="1:16">
      <c r="A14" s="26" t="s">
        <v>46</v>
      </c>
      <c r="B14" s="24" t="s">
        <v>49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18">
        <f t="shared" si="3"/>
        <v>0</v>
      </c>
    </row>
    <row r="15" spans="1:16">
      <c r="A15" s="26" t="s">
        <v>48</v>
      </c>
      <c r="B15" s="24" t="s">
        <v>51</v>
      </c>
      <c r="C15" s="57">
        <f>C6+C11</f>
        <v>263459.27355763956</v>
      </c>
      <c r="D15" s="57">
        <f>D6+D11</f>
        <v>145638.09403338574</v>
      </c>
      <c r="E15" s="57">
        <f t="shared" ref="E15:M15" si="6">E6+E11</f>
        <v>58388.753697332286</v>
      </c>
      <c r="F15" s="57">
        <f t="shared" si="6"/>
        <v>29569.446451900447</v>
      </c>
      <c r="G15" s="57">
        <f t="shared" si="6"/>
        <v>52702.688399380102</v>
      </c>
      <c r="H15" s="57">
        <f t="shared" si="6"/>
        <v>29115.302442972912</v>
      </c>
      <c r="I15" s="57">
        <f t="shared" si="6"/>
        <v>33917.773096193312</v>
      </c>
      <c r="J15" s="57">
        <f t="shared" si="6"/>
        <v>14200.374266157707</v>
      </c>
      <c r="K15" s="57">
        <f t="shared" si="6"/>
        <v>5361.394045787385</v>
      </c>
      <c r="L15" s="57">
        <f t="shared" si="6"/>
        <v>12045.810858745041</v>
      </c>
      <c r="M15" s="57">
        <f t="shared" si="6"/>
        <v>81253.688195611408</v>
      </c>
      <c r="N15" s="18">
        <f t="shared" si="3"/>
        <v>759570.37214129919</v>
      </c>
    </row>
    <row r="16" spans="1:16">
      <c r="A16" s="26" t="s">
        <v>50</v>
      </c>
      <c r="B16" s="24" t="s">
        <v>53</v>
      </c>
      <c r="C16" s="57">
        <v>0</v>
      </c>
      <c r="D16" s="57">
        <v>0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7">
        <v>0</v>
      </c>
      <c r="K16" s="57">
        <v>0</v>
      </c>
      <c r="L16" s="57">
        <v>0</v>
      </c>
      <c r="M16" s="57">
        <v>0</v>
      </c>
      <c r="N16" s="18">
        <f t="shared" si="3"/>
        <v>0</v>
      </c>
    </row>
    <row r="17" spans="1:14">
      <c r="A17" s="26" t="s">
        <v>52</v>
      </c>
      <c r="B17" s="24" t="s">
        <v>55</v>
      </c>
      <c r="C17" s="57">
        <f>C15+C16</f>
        <v>263459.27355763956</v>
      </c>
      <c r="D17" s="57">
        <f>D15+D16</f>
        <v>145638.09403338574</v>
      </c>
      <c r="E17" s="57">
        <f t="shared" ref="E17:M17" si="7">E15+E16</f>
        <v>58388.753697332286</v>
      </c>
      <c r="F17" s="57">
        <f t="shared" si="7"/>
        <v>29569.446451900447</v>
      </c>
      <c r="G17" s="57">
        <f t="shared" si="7"/>
        <v>52702.688399380102</v>
      </c>
      <c r="H17" s="57">
        <f t="shared" si="7"/>
        <v>29115.302442972912</v>
      </c>
      <c r="I17" s="57">
        <f t="shared" si="7"/>
        <v>33917.773096193312</v>
      </c>
      <c r="J17" s="57">
        <f t="shared" si="7"/>
        <v>14200.374266157707</v>
      </c>
      <c r="K17" s="57">
        <f t="shared" si="7"/>
        <v>5361.394045787385</v>
      </c>
      <c r="L17" s="57">
        <f t="shared" si="7"/>
        <v>12045.810858745041</v>
      </c>
      <c r="M17" s="57">
        <f t="shared" si="7"/>
        <v>81253.688195611408</v>
      </c>
      <c r="N17" s="18">
        <f t="shared" si="3"/>
        <v>759570.37214129919</v>
      </c>
    </row>
    <row r="18" spans="1:14" s="22" customFormat="1" ht="27.6">
      <c r="A18" s="60" t="s">
        <v>54</v>
      </c>
      <c r="B18" s="61" t="s">
        <v>57</v>
      </c>
      <c r="C18" s="62">
        <v>300</v>
      </c>
      <c r="D18" s="62">
        <v>100</v>
      </c>
      <c r="E18" s="62">
        <v>75</v>
      </c>
      <c r="F18" s="62">
        <v>25</v>
      </c>
      <c r="G18" s="62">
        <v>75</v>
      </c>
      <c r="H18" s="62">
        <v>25</v>
      </c>
      <c r="I18" s="62">
        <v>75</v>
      </c>
      <c r="J18" s="62">
        <v>25</v>
      </c>
      <c r="K18" s="62">
        <v>400</v>
      </c>
      <c r="L18" s="62">
        <v>400</v>
      </c>
      <c r="M18" s="62">
        <v>100</v>
      </c>
    </row>
    <row r="19" spans="1:14" s="66" customFormat="1" ht="31.2">
      <c r="A19" s="63" t="s">
        <v>56</v>
      </c>
      <c r="B19" s="64" t="s">
        <v>95</v>
      </c>
      <c r="C19" s="65">
        <f>C17/C18</f>
        <v>878.19757852546525</v>
      </c>
      <c r="D19" s="65">
        <f>D17/D18</f>
        <v>1456.3809403338573</v>
      </c>
      <c r="E19" s="65">
        <f t="shared" ref="E19:M19" si="8">E17/E18</f>
        <v>778.51671596443043</v>
      </c>
      <c r="F19" s="65">
        <f t="shared" si="8"/>
        <v>1182.7778580760178</v>
      </c>
      <c r="G19" s="65">
        <f t="shared" si="8"/>
        <v>702.7025119917347</v>
      </c>
      <c r="H19" s="65">
        <f t="shared" si="8"/>
        <v>1164.6120977189164</v>
      </c>
      <c r="I19" s="65">
        <f t="shared" si="8"/>
        <v>452.23697461591081</v>
      </c>
      <c r="J19" s="65">
        <f t="shared" si="8"/>
        <v>568.01497064630826</v>
      </c>
      <c r="K19" s="65">
        <f t="shared" si="8"/>
        <v>13.403485114468463</v>
      </c>
      <c r="L19" s="65">
        <f t="shared" si="8"/>
        <v>30.114527146862603</v>
      </c>
      <c r="M19" s="65">
        <f t="shared" si="8"/>
        <v>812.53688195611403</v>
      </c>
    </row>
    <row r="20" spans="1:14" hidden="1">
      <c r="A20" s="60" t="s">
        <v>58</v>
      </c>
      <c r="B20" s="61" t="s">
        <v>89</v>
      </c>
      <c r="C20" s="62">
        <f>Лист1!H9</f>
        <v>0.36307733428357225</v>
      </c>
      <c r="D20" s="62">
        <f>Лист1!H11</f>
        <v>0.20059748554228027</v>
      </c>
      <c r="E20" s="62">
        <f>Лист1!H23</f>
        <v>8.050395119611202E-2</v>
      </c>
      <c r="F20" s="62">
        <f>Лист1!H25</f>
        <v>4.0746633853212241E-2</v>
      </c>
      <c r="G20" s="62">
        <f>Лист1!H37</f>
        <v>7.2664244159084387E-2</v>
      </c>
      <c r="H20" s="62">
        <f>Лист1!H39</f>
        <v>4.0120824381989932E-2</v>
      </c>
      <c r="I20" s="62">
        <f>Лист1!H50</f>
        <v>4.6786392069112913E-2</v>
      </c>
      <c r="J20" s="62">
        <f>Лист1!H52</f>
        <v>1.9577284624664269E-2</v>
      </c>
      <c r="K20" s="62">
        <f>Лист1!H62</f>
        <v>7.0924875464362797E-3</v>
      </c>
      <c r="L20" s="62">
        <f>Лист1!H71</f>
        <v>1.6844657922786166E-2</v>
      </c>
      <c r="M20" s="62">
        <f>Лист1!H82</f>
        <v>0.111988704420749</v>
      </c>
    </row>
    <row r="21" spans="1:14">
      <c r="B21" s="17"/>
      <c r="C21" s="18"/>
      <c r="D21" s="18"/>
      <c r="E21" s="18"/>
      <c r="F21" s="18"/>
      <c r="G21" s="18"/>
      <c r="H21" s="18"/>
      <c r="I21" s="18"/>
      <c r="J21" s="18"/>
      <c r="K21" s="29"/>
      <c r="L21" s="29"/>
      <c r="M21" s="18"/>
    </row>
    <row r="22" spans="1:14">
      <c r="B22" s="17"/>
    </row>
    <row r="23" spans="1:14">
      <c r="B23" s="16" t="s">
        <v>92</v>
      </c>
      <c r="C23" s="23"/>
      <c r="D23" s="23"/>
      <c r="H23" s="16" t="s">
        <v>93</v>
      </c>
      <c r="M23" s="23"/>
    </row>
    <row r="24" spans="1:14">
      <c r="C24" s="23"/>
    </row>
    <row r="26" spans="1:14">
      <c r="B26" s="56" t="s">
        <v>94</v>
      </c>
      <c r="C26" s="18"/>
      <c r="D26" s="59"/>
    </row>
    <row r="31" spans="1:14">
      <c r="C31" s="23"/>
      <c r="D31" s="18"/>
    </row>
  </sheetData>
  <mergeCells count="7">
    <mergeCell ref="I3:J3"/>
    <mergeCell ref="B1:I1"/>
    <mergeCell ref="A3:A4"/>
    <mergeCell ref="B3:B4"/>
    <mergeCell ref="C3:D3"/>
    <mergeCell ref="E3:F3"/>
    <mergeCell ref="G3:H3"/>
  </mergeCells>
  <pageMargins left="0.85" right="0.23622047244094491" top="0.27559055118110237" bottom="0.27559055118110237" header="0.31496062992125984" footer="0.31496062992125984"/>
  <pageSetup paperSize="9" scale="96" fitToWidth="2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2"/>
  <sheetViews>
    <sheetView workbookViewId="0">
      <selection activeCell="B8" sqref="B8"/>
    </sheetView>
  </sheetViews>
  <sheetFormatPr defaultRowHeight="14.4"/>
  <cols>
    <col min="1" max="1" width="19" customWidth="1"/>
    <col min="5" max="5" width="15.77734375" customWidth="1"/>
    <col min="8" max="8" width="13" customWidth="1"/>
    <col min="9" max="9" width="12" customWidth="1"/>
  </cols>
  <sheetData>
    <row r="1" spans="1:10">
      <c r="A1" s="34" t="s">
        <v>67</v>
      </c>
      <c r="E1" s="43" t="s">
        <v>45</v>
      </c>
      <c r="F1" s="35"/>
      <c r="H1" s="43" t="s">
        <v>45</v>
      </c>
      <c r="I1" s="35"/>
      <c r="J1" t="s">
        <v>87</v>
      </c>
    </row>
    <row r="2" spans="1:10">
      <c r="A2" s="39" t="s">
        <v>75</v>
      </c>
      <c r="B2" s="39">
        <v>89928</v>
      </c>
      <c r="E2" s="35" t="s">
        <v>79</v>
      </c>
      <c r="F2" s="35">
        <v>60132</v>
      </c>
      <c r="H2" s="35" t="s">
        <v>79</v>
      </c>
      <c r="I2" s="35">
        <v>32484</v>
      </c>
    </row>
    <row r="3" spans="1:10">
      <c r="A3" s="39" t="s">
        <v>68</v>
      </c>
      <c r="B3" s="39">
        <f>16140.64+1935+626.64</f>
        <v>18702.28</v>
      </c>
      <c r="E3" s="35" t="s">
        <v>80</v>
      </c>
      <c r="F3" s="35">
        <v>22110.5</v>
      </c>
      <c r="H3" s="35" t="s">
        <v>80</v>
      </c>
      <c r="I3" s="35">
        <v>11944.36</v>
      </c>
    </row>
    <row r="4" spans="1:10">
      <c r="A4" s="39" t="s">
        <v>69</v>
      </c>
      <c r="B4" s="39">
        <f>4691.7+220.24</f>
        <v>4911.9399999999996</v>
      </c>
      <c r="E4" s="35" t="s">
        <v>81</v>
      </c>
      <c r="F4" s="35">
        <v>500</v>
      </c>
      <c r="H4" s="35" t="s">
        <v>81</v>
      </c>
      <c r="I4" s="35">
        <v>500</v>
      </c>
    </row>
    <row r="5" spans="1:10">
      <c r="A5" s="39" t="s">
        <v>70</v>
      </c>
      <c r="B5" s="39">
        <v>39576.57</v>
      </c>
      <c r="E5" s="35" t="s">
        <v>82</v>
      </c>
      <c r="F5" s="35">
        <v>0</v>
      </c>
      <c r="H5" s="35" t="s">
        <v>82</v>
      </c>
      <c r="I5" s="35">
        <v>0</v>
      </c>
    </row>
    <row r="6" spans="1:10">
      <c r="A6" s="39" t="s">
        <v>71</v>
      </c>
      <c r="B6" s="39">
        <v>20563.330000000002</v>
      </c>
      <c r="E6" s="43" t="s">
        <v>77</v>
      </c>
      <c r="F6" s="43">
        <f>F2+F3+F4+F5</f>
        <v>82742.5</v>
      </c>
      <c r="H6" s="43" t="s">
        <v>77</v>
      </c>
      <c r="I6" s="43">
        <f>I2+I3+I4+I5</f>
        <v>44928.36</v>
      </c>
    </row>
    <row r="7" spans="1:10">
      <c r="A7" s="39" t="s">
        <v>72</v>
      </c>
      <c r="B7" s="39">
        <v>0</v>
      </c>
      <c r="E7" s="35"/>
      <c r="F7" s="35"/>
      <c r="H7" s="35"/>
      <c r="I7" s="35"/>
    </row>
    <row r="8" spans="1:10">
      <c r="A8" s="39" t="s">
        <v>73</v>
      </c>
      <c r="B8" s="39">
        <v>40264</v>
      </c>
    </row>
    <row r="9" spans="1:10" ht="72">
      <c r="A9" s="37" t="s">
        <v>76</v>
      </c>
      <c r="B9" s="39">
        <f>91260+63456+86855.4</f>
        <v>241571.4</v>
      </c>
      <c r="E9" t="s">
        <v>66</v>
      </c>
    </row>
    <row r="10" spans="1:10" ht="22.8" customHeight="1">
      <c r="A10" s="40" t="s">
        <v>74</v>
      </c>
      <c r="B10" s="39">
        <f>B9*0.3677</f>
        <v>88825.803780000002</v>
      </c>
      <c r="E10" s="35" t="s">
        <v>83</v>
      </c>
      <c r="F10" s="35">
        <v>450.44</v>
      </c>
    </row>
    <row r="11" spans="1:10" s="42" customFormat="1" ht="28.8">
      <c r="A11" s="41" t="s">
        <v>77</v>
      </c>
      <c r="B11" s="41">
        <f>B2+B3+B4+B5+B6+B7+B8+B9+B10</f>
        <v>544343.32377999998</v>
      </c>
      <c r="E11" s="44" t="s">
        <v>84</v>
      </c>
      <c r="F11" s="43">
        <v>480</v>
      </c>
    </row>
    <row r="12" spans="1:10">
      <c r="A12" s="36" t="s">
        <v>78</v>
      </c>
      <c r="B12" s="38">
        <f>B11-B2</f>
        <v>454415.32377999998</v>
      </c>
      <c r="E12" s="54" t="s">
        <v>77</v>
      </c>
      <c r="F12">
        <f>F10+F11</f>
        <v>930.44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Лист1!Область_печати</vt:lpstr>
      <vt:lpstr>Лист2!Область_печати</vt:lpstr>
      <vt:lpstr>Лист3!Область_печати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2013-03-14T14:00:47Z</dcterms:modified>
</cp:coreProperties>
</file>