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X214" i="1" l="1"/>
  <c r="X213" i="1"/>
  <c r="X212" i="1"/>
  <c r="X211" i="1"/>
  <c r="X210" i="1"/>
  <c r="W210" i="1"/>
  <c r="G210" i="1"/>
  <c r="X209" i="1"/>
  <c r="W209" i="1"/>
  <c r="G209" i="1"/>
  <c r="X208" i="1"/>
  <c r="W208" i="1"/>
  <c r="G208" i="1"/>
  <c r="X207" i="1"/>
  <c r="W207" i="1"/>
  <c r="G207" i="1"/>
  <c r="X206" i="1"/>
  <c r="W206" i="1"/>
  <c r="G206" i="1"/>
  <c r="X205" i="1"/>
  <c r="W205" i="1"/>
  <c r="V205" i="1"/>
  <c r="U205" i="1"/>
  <c r="G205" i="1"/>
  <c r="X204" i="1"/>
  <c r="W204" i="1"/>
  <c r="G204" i="1"/>
  <c r="X203" i="1"/>
  <c r="W203" i="1"/>
  <c r="V203" i="1"/>
  <c r="U203" i="1"/>
  <c r="G203" i="1"/>
  <c r="X202" i="1"/>
  <c r="W202" i="1"/>
  <c r="V202" i="1"/>
  <c r="U202" i="1"/>
  <c r="G202" i="1"/>
  <c r="X201" i="1"/>
  <c r="W201" i="1"/>
  <c r="V201" i="1"/>
  <c r="U201" i="1"/>
  <c r="G201" i="1"/>
  <c r="X200" i="1"/>
  <c r="W200" i="1"/>
  <c r="V200" i="1"/>
  <c r="U200" i="1"/>
  <c r="G200" i="1"/>
  <c r="X199" i="1"/>
  <c r="W199" i="1"/>
  <c r="G199" i="1"/>
  <c r="X198" i="1"/>
  <c r="W198" i="1"/>
  <c r="G198" i="1"/>
  <c r="X197" i="1"/>
  <c r="W197" i="1"/>
  <c r="V197" i="1"/>
  <c r="U197" i="1"/>
  <c r="G197" i="1"/>
  <c r="G196" i="1"/>
  <c r="X195" i="1"/>
  <c r="W195" i="1"/>
  <c r="G195" i="1"/>
  <c r="G194" i="1"/>
  <c r="X193" i="1"/>
  <c r="W193" i="1"/>
  <c r="G193" i="1"/>
  <c r="G192" i="1"/>
  <c r="X191" i="1"/>
  <c r="W191" i="1"/>
  <c r="V191" i="1"/>
  <c r="U191" i="1"/>
  <c r="G191" i="1"/>
  <c r="X190" i="1"/>
  <c r="W190" i="1"/>
  <c r="V190" i="1"/>
  <c r="U190" i="1"/>
  <c r="G190" i="1"/>
  <c r="X189" i="1"/>
  <c r="W189" i="1"/>
  <c r="V189" i="1"/>
  <c r="U189" i="1"/>
  <c r="G189" i="1"/>
  <c r="X188" i="1"/>
  <c r="W188" i="1"/>
  <c r="V188" i="1"/>
  <c r="U188" i="1"/>
  <c r="G188" i="1"/>
  <c r="X187" i="1"/>
  <c r="W187" i="1"/>
  <c r="V187" i="1"/>
  <c r="U187" i="1"/>
  <c r="G187" i="1"/>
  <c r="X186" i="1"/>
  <c r="W186" i="1"/>
  <c r="V186" i="1"/>
  <c r="U186" i="1"/>
  <c r="G186" i="1"/>
  <c r="G185" i="1"/>
  <c r="X184" i="1"/>
  <c r="W184" i="1"/>
  <c r="V184" i="1"/>
  <c r="U184" i="1"/>
  <c r="G184" i="1"/>
  <c r="X183" i="1"/>
  <c r="W183" i="1"/>
  <c r="V183" i="1"/>
  <c r="U183" i="1"/>
  <c r="G183" i="1"/>
  <c r="X182" i="1"/>
  <c r="W182" i="1"/>
  <c r="V182" i="1"/>
  <c r="U182" i="1"/>
  <c r="G182" i="1"/>
  <c r="X181" i="1"/>
  <c r="W181" i="1"/>
  <c r="V181" i="1"/>
  <c r="U181" i="1"/>
  <c r="G181" i="1"/>
  <c r="X180" i="1"/>
  <c r="W180" i="1"/>
  <c r="V180" i="1"/>
  <c r="U180" i="1"/>
  <c r="G180" i="1"/>
  <c r="X179" i="1"/>
  <c r="W179" i="1"/>
  <c r="V179" i="1"/>
  <c r="U179" i="1"/>
  <c r="G179" i="1"/>
  <c r="X178" i="1"/>
  <c r="W178" i="1"/>
  <c r="V178" i="1"/>
  <c r="U178" i="1"/>
  <c r="G178" i="1"/>
  <c r="X177" i="1"/>
  <c r="W177" i="1"/>
  <c r="V177" i="1"/>
  <c r="U177" i="1"/>
  <c r="G177" i="1"/>
  <c r="X176" i="1"/>
  <c r="W176" i="1"/>
  <c r="V176" i="1"/>
  <c r="U176" i="1"/>
  <c r="G176" i="1"/>
  <c r="X175" i="1"/>
  <c r="W175" i="1"/>
  <c r="V175" i="1"/>
  <c r="U175" i="1"/>
  <c r="G175" i="1"/>
  <c r="X174" i="1"/>
  <c r="W174" i="1"/>
  <c r="V174" i="1"/>
  <c r="U174" i="1"/>
  <c r="G174" i="1"/>
  <c r="X173" i="1"/>
  <c r="W173" i="1"/>
  <c r="V173" i="1"/>
  <c r="U173" i="1"/>
  <c r="G173" i="1"/>
  <c r="X172" i="1"/>
  <c r="W172" i="1"/>
  <c r="V172" i="1"/>
  <c r="U172" i="1"/>
  <c r="G172" i="1"/>
  <c r="X171" i="1"/>
  <c r="W171" i="1"/>
  <c r="V171" i="1"/>
  <c r="U171" i="1"/>
  <c r="G171" i="1"/>
  <c r="X170" i="1"/>
  <c r="W170" i="1"/>
  <c r="V170" i="1"/>
  <c r="U170" i="1"/>
  <c r="G170" i="1"/>
  <c r="X169" i="1"/>
  <c r="W169" i="1"/>
  <c r="V169" i="1"/>
  <c r="U169" i="1"/>
  <c r="G169" i="1"/>
  <c r="X168" i="1"/>
  <c r="W168" i="1"/>
  <c r="G168" i="1"/>
  <c r="X167" i="1"/>
  <c r="W167" i="1"/>
  <c r="V167" i="1"/>
  <c r="U167" i="1"/>
  <c r="G167" i="1"/>
  <c r="X166" i="1"/>
  <c r="W166" i="1"/>
  <c r="G166" i="1"/>
  <c r="X165" i="1"/>
  <c r="W165" i="1"/>
  <c r="G165" i="1"/>
  <c r="X164" i="1"/>
  <c r="W164" i="1"/>
  <c r="V164" i="1"/>
  <c r="U164" i="1"/>
  <c r="G164" i="1"/>
  <c r="X163" i="1"/>
  <c r="W163" i="1"/>
  <c r="V163" i="1"/>
  <c r="U163" i="1"/>
  <c r="G163" i="1"/>
  <c r="X162" i="1"/>
  <c r="W162" i="1"/>
  <c r="G162" i="1"/>
  <c r="X161" i="1"/>
  <c r="W161" i="1"/>
  <c r="G161" i="1"/>
  <c r="X160" i="1"/>
  <c r="W160" i="1"/>
  <c r="V160" i="1"/>
  <c r="U160" i="1"/>
  <c r="G160" i="1"/>
  <c r="V159" i="1"/>
  <c r="U159" i="1"/>
  <c r="G159" i="1"/>
  <c r="X158" i="1"/>
  <c r="W158" i="1"/>
  <c r="V158" i="1"/>
  <c r="U158" i="1"/>
  <c r="G158" i="1"/>
  <c r="X157" i="1"/>
  <c r="W157" i="1"/>
  <c r="V157" i="1"/>
  <c r="U157" i="1"/>
  <c r="G157" i="1"/>
  <c r="X156" i="1"/>
  <c r="W156" i="1"/>
  <c r="V156" i="1"/>
  <c r="U156" i="1"/>
  <c r="G156" i="1"/>
  <c r="X155" i="1"/>
  <c r="W155" i="1"/>
  <c r="U155" i="1"/>
  <c r="G155" i="1"/>
  <c r="X154" i="1"/>
  <c r="W154" i="1"/>
  <c r="G154" i="1"/>
  <c r="X153" i="1"/>
  <c r="W153" i="1"/>
  <c r="V153" i="1"/>
  <c r="U153" i="1"/>
  <c r="G153" i="1"/>
  <c r="X152" i="1"/>
  <c r="W152" i="1"/>
  <c r="V152" i="1"/>
  <c r="U152" i="1"/>
  <c r="G152" i="1"/>
  <c r="X151" i="1"/>
  <c r="W151" i="1"/>
  <c r="V151" i="1"/>
  <c r="U151" i="1"/>
  <c r="G151" i="1"/>
  <c r="X150" i="1"/>
  <c r="W150" i="1"/>
  <c r="V150" i="1"/>
  <c r="U150" i="1"/>
  <c r="G150" i="1"/>
  <c r="X149" i="1"/>
  <c r="W149" i="1"/>
  <c r="V149" i="1"/>
  <c r="U149" i="1"/>
  <c r="G149" i="1"/>
  <c r="X148" i="1"/>
  <c r="W148" i="1"/>
  <c r="V148" i="1"/>
  <c r="U148" i="1"/>
  <c r="G148" i="1"/>
  <c r="X147" i="1"/>
  <c r="W147" i="1"/>
  <c r="V147" i="1"/>
  <c r="U147" i="1"/>
  <c r="G147" i="1"/>
  <c r="X146" i="1"/>
  <c r="W146" i="1"/>
  <c r="V146" i="1"/>
  <c r="U146" i="1"/>
  <c r="G146" i="1"/>
  <c r="X145" i="1"/>
  <c r="W145" i="1"/>
  <c r="V145" i="1"/>
  <c r="U145" i="1"/>
  <c r="G145" i="1"/>
  <c r="X144" i="1"/>
  <c r="W144" i="1"/>
  <c r="V144" i="1"/>
  <c r="U144" i="1"/>
  <c r="G144" i="1"/>
  <c r="X143" i="1"/>
  <c r="W143" i="1"/>
  <c r="V143" i="1"/>
  <c r="U143" i="1"/>
  <c r="G143" i="1"/>
  <c r="X142" i="1"/>
  <c r="W142" i="1"/>
  <c r="V142" i="1"/>
  <c r="U142" i="1"/>
  <c r="G142" i="1"/>
  <c r="X141" i="1"/>
  <c r="W141" i="1"/>
  <c r="V141" i="1"/>
  <c r="U141" i="1"/>
  <c r="G141" i="1"/>
  <c r="X140" i="1"/>
  <c r="W140" i="1"/>
  <c r="V140" i="1"/>
  <c r="U140" i="1"/>
  <c r="G140" i="1"/>
  <c r="G139" i="1"/>
  <c r="X138" i="1"/>
  <c r="W138" i="1"/>
  <c r="V138" i="1"/>
  <c r="U138" i="1"/>
  <c r="G138" i="1"/>
  <c r="X137" i="1"/>
  <c r="W137" i="1"/>
  <c r="V137" i="1"/>
  <c r="U137" i="1"/>
  <c r="G137" i="1"/>
  <c r="X136" i="1"/>
  <c r="W136" i="1"/>
  <c r="V136" i="1"/>
  <c r="U136" i="1"/>
  <c r="G136" i="1"/>
  <c r="X135" i="1"/>
  <c r="W135" i="1"/>
  <c r="G135" i="1"/>
  <c r="X134" i="1"/>
  <c r="W134" i="1"/>
  <c r="V134" i="1"/>
  <c r="U134" i="1"/>
  <c r="G134" i="1"/>
  <c r="X133" i="1"/>
  <c r="W133" i="1"/>
  <c r="V133" i="1"/>
  <c r="U133" i="1"/>
  <c r="G133" i="1"/>
  <c r="X132" i="1"/>
  <c r="W132" i="1"/>
  <c r="V132" i="1"/>
  <c r="U132" i="1"/>
  <c r="G132" i="1"/>
  <c r="X131" i="1"/>
  <c r="W131" i="1"/>
  <c r="V131" i="1"/>
  <c r="U131" i="1"/>
  <c r="G131" i="1"/>
  <c r="X130" i="1"/>
  <c r="W130" i="1"/>
  <c r="V130" i="1"/>
  <c r="U130" i="1"/>
  <c r="G130" i="1"/>
  <c r="X129" i="1"/>
  <c r="W129" i="1"/>
  <c r="V129" i="1"/>
  <c r="U129" i="1"/>
  <c r="G129" i="1"/>
  <c r="X128" i="1"/>
  <c r="W128" i="1"/>
  <c r="V128" i="1"/>
  <c r="U128" i="1"/>
  <c r="G128" i="1"/>
  <c r="X127" i="1"/>
  <c r="W127" i="1"/>
  <c r="V127" i="1"/>
  <c r="G127" i="1"/>
  <c r="X126" i="1"/>
  <c r="W126" i="1"/>
  <c r="V126" i="1"/>
  <c r="U126" i="1"/>
  <c r="G126" i="1"/>
  <c r="X125" i="1"/>
  <c r="W125" i="1"/>
  <c r="V125" i="1"/>
  <c r="U125" i="1"/>
  <c r="G125" i="1"/>
  <c r="X124" i="1"/>
  <c r="W124" i="1"/>
  <c r="V124" i="1"/>
  <c r="U124" i="1"/>
  <c r="G124" i="1"/>
  <c r="X123" i="1"/>
  <c r="W123" i="1"/>
  <c r="G123" i="1"/>
  <c r="X122" i="1"/>
  <c r="W122" i="1"/>
  <c r="G122" i="1"/>
  <c r="X121" i="1"/>
  <c r="W121" i="1"/>
  <c r="V121" i="1"/>
  <c r="U121" i="1"/>
  <c r="G121" i="1"/>
  <c r="X120" i="1"/>
  <c r="W120" i="1"/>
  <c r="V120" i="1"/>
  <c r="G120" i="1"/>
  <c r="X119" i="1"/>
  <c r="W119" i="1"/>
  <c r="V119" i="1"/>
  <c r="U119" i="1"/>
  <c r="G119" i="1"/>
  <c r="X118" i="1"/>
  <c r="W118" i="1"/>
  <c r="V118" i="1"/>
  <c r="G118" i="1"/>
  <c r="X117" i="1"/>
  <c r="W117" i="1"/>
  <c r="G117" i="1"/>
  <c r="X116" i="1"/>
  <c r="W116" i="1"/>
  <c r="G116" i="1"/>
  <c r="G115" i="1"/>
  <c r="X114" i="1"/>
  <c r="V114" i="1"/>
  <c r="U114" i="1"/>
  <c r="G114" i="1"/>
  <c r="X113" i="1"/>
  <c r="W113" i="1"/>
  <c r="V113" i="1"/>
  <c r="U113" i="1"/>
  <c r="G113" i="1"/>
  <c r="X112" i="1"/>
  <c r="W112" i="1"/>
  <c r="V112" i="1"/>
  <c r="U112" i="1"/>
  <c r="G112" i="1"/>
  <c r="W111" i="1"/>
  <c r="G111" i="1"/>
  <c r="X110" i="1"/>
  <c r="W110" i="1"/>
  <c r="V110" i="1"/>
  <c r="U110" i="1"/>
  <c r="G110" i="1"/>
  <c r="X109" i="1"/>
  <c r="W109" i="1"/>
  <c r="V109" i="1"/>
  <c r="U109" i="1"/>
  <c r="G109" i="1"/>
  <c r="X108" i="1"/>
  <c r="W108" i="1"/>
  <c r="V108" i="1"/>
  <c r="U108" i="1"/>
  <c r="G108" i="1"/>
  <c r="X107" i="1"/>
  <c r="W107" i="1"/>
  <c r="V107" i="1"/>
  <c r="G107" i="1"/>
  <c r="X106" i="1"/>
  <c r="W106" i="1"/>
  <c r="V106" i="1"/>
  <c r="U106" i="1"/>
  <c r="G106" i="1"/>
  <c r="V105" i="1"/>
  <c r="U105" i="1"/>
  <c r="G105" i="1"/>
  <c r="G104" i="1"/>
  <c r="X103" i="1"/>
  <c r="W103" i="1"/>
  <c r="V103" i="1"/>
  <c r="U103" i="1"/>
  <c r="G103" i="1"/>
  <c r="X102" i="1"/>
  <c r="W102" i="1"/>
  <c r="V102" i="1"/>
  <c r="G102" i="1"/>
  <c r="X101" i="1"/>
  <c r="W101" i="1"/>
  <c r="V101" i="1"/>
  <c r="G101" i="1"/>
  <c r="X100" i="1"/>
  <c r="V100" i="1"/>
  <c r="U100" i="1"/>
  <c r="G100" i="1"/>
  <c r="X99" i="1"/>
  <c r="W99" i="1"/>
  <c r="V99" i="1"/>
  <c r="U99" i="1"/>
  <c r="G99" i="1"/>
  <c r="X98" i="1"/>
  <c r="W98" i="1"/>
  <c r="V98" i="1"/>
  <c r="G98" i="1"/>
  <c r="X97" i="1"/>
  <c r="W97" i="1"/>
  <c r="G97" i="1"/>
  <c r="V96" i="1"/>
  <c r="U96" i="1"/>
  <c r="G96" i="1"/>
  <c r="X95" i="1"/>
  <c r="U95" i="1"/>
  <c r="G95" i="1"/>
  <c r="X94" i="1"/>
  <c r="W94" i="1"/>
  <c r="V94" i="1"/>
  <c r="U94" i="1"/>
  <c r="G94" i="1"/>
  <c r="X93" i="1"/>
  <c r="W93" i="1"/>
  <c r="V93" i="1"/>
  <c r="G93" i="1"/>
  <c r="X92" i="1"/>
  <c r="W92" i="1"/>
  <c r="V92" i="1"/>
  <c r="U92" i="1"/>
  <c r="G92" i="1"/>
  <c r="X91" i="1"/>
  <c r="W91" i="1"/>
  <c r="V91" i="1"/>
  <c r="U91" i="1"/>
  <c r="G91" i="1"/>
  <c r="X90" i="1"/>
  <c r="W90" i="1"/>
  <c r="V90" i="1"/>
  <c r="U90" i="1"/>
  <c r="G90" i="1"/>
  <c r="X89" i="1"/>
  <c r="W89" i="1"/>
  <c r="V89" i="1"/>
  <c r="U89" i="1"/>
  <c r="G89" i="1"/>
  <c r="X88" i="1"/>
  <c r="W88" i="1"/>
  <c r="V88" i="1"/>
  <c r="U88" i="1"/>
  <c r="G88" i="1"/>
  <c r="X87" i="1"/>
  <c r="W87" i="1"/>
  <c r="V87" i="1"/>
  <c r="U87" i="1"/>
  <c r="G87" i="1"/>
  <c r="X86" i="1"/>
  <c r="W86" i="1"/>
  <c r="V86" i="1"/>
  <c r="U86" i="1"/>
  <c r="G86" i="1"/>
  <c r="X85" i="1"/>
  <c r="W85" i="1"/>
  <c r="V85" i="1"/>
  <c r="U85" i="1"/>
  <c r="G85" i="1"/>
  <c r="X84" i="1"/>
  <c r="W84" i="1"/>
  <c r="V84" i="1"/>
  <c r="G84" i="1"/>
  <c r="X83" i="1"/>
  <c r="W83" i="1"/>
  <c r="G83" i="1"/>
  <c r="X82" i="1"/>
  <c r="V82" i="1"/>
  <c r="U82" i="1"/>
  <c r="G82" i="1"/>
  <c r="X81" i="1"/>
  <c r="W81" i="1"/>
  <c r="V81" i="1"/>
  <c r="U81" i="1"/>
  <c r="G81" i="1"/>
  <c r="X80" i="1"/>
  <c r="U80" i="1"/>
  <c r="G80" i="1"/>
  <c r="X79" i="1"/>
  <c r="W79" i="1"/>
  <c r="V79" i="1"/>
  <c r="U79" i="1"/>
  <c r="G79" i="1"/>
  <c r="X78" i="1"/>
  <c r="W78" i="1"/>
  <c r="U78" i="1"/>
  <c r="G78" i="1"/>
  <c r="X77" i="1"/>
  <c r="W77" i="1"/>
  <c r="G77" i="1"/>
  <c r="X76" i="1"/>
  <c r="W76" i="1"/>
  <c r="V76" i="1"/>
  <c r="G76" i="1"/>
  <c r="X75" i="1"/>
  <c r="V75" i="1"/>
  <c r="U75" i="1"/>
  <c r="G75" i="1"/>
  <c r="X74" i="1"/>
  <c r="W74" i="1"/>
  <c r="G74" i="1"/>
  <c r="G73" i="1"/>
  <c r="X72" i="1"/>
  <c r="W72" i="1"/>
  <c r="V72" i="1"/>
  <c r="U72" i="1"/>
  <c r="G72" i="1"/>
  <c r="X71" i="1"/>
  <c r="W71" i="1"/>
  <c r="G71" i="1"/>
  <c r="X70" i="1"/>
  <c r="W70" i="1"/>
  <c r="V70" i="1"/>
  <c r="U70" i="1"/>
  <c r="G70" i="1"/>
  <c r="X69" i="1"/>
  <c r="W69" i="1"/>
  <c r="U69" i="1"/>
  <c r="G69" i="1"/>
  <c r="X68" i="1"/>
  <c r="W68" i="1"/>
  <c r="V68" i="1"/>
  <c r="U68" i="1"/>
  <c r="G68" i="1"/>
  <c r="X67" i="1"/>
  <c r="W67" i="1"/>
  <c r="V67" i="1"/>
  <c r="U67" i="1"/>
  <c r="G67" i="1"/>
  <c r="V66" i="1"/>
  <c r="U66" i="1"/>
  <c r="G66" i="1"/>
  <c r="X65" i="1"/>
  <c r="W65" i="1"/>
  <c r="V65" i="1"/>
  <c r="G65" i="1"/>
  <c r="X64" i="1"/>
  <c r="W64" i="1"/>
  <c r="V64" i="1"/>
  <c r="U64" i="1"/>
  <c r="G64" i="1"/>
  <c r="X63" i="1"/>
  <c r="W63" i="1"/>
  <c r="V63" i="1"/>
  <c r="U63" i="1"/>
  <c r="G63" i="1"/>
  <c r="X62" i="1"/>
  <c r="W62" i="1"/>
  <c r="V62" i="1"/>
  <c r="U62" i="1"/>
  <c r="G62" i="1"/>
  <c r="V61" i="1"/>
  <c r="U61" i="1"/>
  <c r="G61" i="1"/>
  <c r="V60" i="1"/>
  <c r="U60" i="1"/>
  <c r="G60" i="1"/>
  <c r="V59" i="1"/>
  <c r="U59" i="1"/>
  <c r="G59" i="1"/>
  <c r="X58" i="1"/>
  <c r="W58" i="1"/>
  <c r="V58" i="1"/>
  <c r="U58" i="1"/>
  <c r="G58" i="1"/>
  <c r="W57" i="1"/>
  <c r="G57" i="1"/>
  <c r="X56" i="1"/>
  <c r="W56" i="1"/>
  <c r="V56" i="1"/>
  <c r="U56" i="1"/>
  <c r="G56" i="1"/>
  <c r="X55" i="1"/>
  <c r="W55" i="1"/>
  <c r="V55" i="1"/>
  <c r="U55" i="1"/>
  <c r="G55" i="1"/>
  <c r="X54" i="1"/>
  <c r="W54" i="1"/>
  <c r="V54" i="1"/>
  <c r="U54" i="1"/>
  <c r="G54" i="1"/>
  <c r="X53" i="1"/>
  <c r="W53" i="1"/>
  <c r="V53" i="1"/>
  <c r="U53" i="1"/>
  <c r="G53" i="1"/>
  <c r="X52" i="1"/>
  <c r="W52" i="1"/>
  <c r="G52" i="1"/>
  <c r="G51" i="1"/>
  <c r="X50" i="1"/>
  <c r="W50" i="1"/>
  <c r="G50" i="1"/>
  <c r="V49" i="1"/>
  <c r="U49" i="1"/>
  <c r="G49" i="1"/>
  <c r="X48" i="1"/>
  <c r="W48" i="1"/>
  <c r="V48" i="1"/>
  <c r="U48" i="1"/>
  <c r="G48" i="1"/>
  <c r="X47" i="1"/>
  <c r="W47" i="1"/>
  <c r="G47" i="1"/>
  <c r="X46" i="1"/>
  <c r="W46" i="1"/>
  <c r="G46" i="1"/>
  <c r="X45" i="1"/>
  <c r="W45" i="1"/>
  <c r="G45" i="1"/>
  <c r="X44" i="1"/>
  <c r="W44" i="1"/>
  <c r="G44" i="1"/>
  <c r="X43" i="1"/>
  <c r="W43" i="1"/>
  <c r="V43" i="1"/>
  <c r="U43" i="1"/>
  <c r="G43" i="1"/>
  <c r="X42" i="1"/>
  <c r="W42" i="1"/>
  <c r="V42" i="1"/>
  <c r="U42" i="1"/>
  <c r="G42" i="1"/>
  <c r="X41" i="1"/>
  <c r="W41" i="1"/>
  <c r="G41" i="1"/>
  <c r="X40" i="1"/>
  <c r="W40" i="1"/>
  <c r="V40" i="1"/>
  <c r="U40" i="1"/>
  <c r="G40" i="1"/>
  <c r="X39" i="1"/>
  <c r="W39" i="1"/>
  <c r="V39" i="1"/>
  <c r="U39" i="1"/>
  <c r="G39" i="1"/>
  <c r="X38" i="1"/>
  <c r="W38" i="1"/>
  <c r="G38" i="1"/>
  <c r="X37" i="1"/>
  <c r="W37" i="1"/>
  <c r="V37" i="1"/>
  <c r="U37" i="1"/>
  <c r="G37" i="1"/>
  <c r="W36" i="1"/>
  <c r="V36" i="1"/>
  <c r="U36" i="1"/>
  <c r="G36" i="1"/>
  <c r="X35" i="1"/>
  <c r="W35" i="1"/>
  <c r="V35" i="1"/>
  <c r="U35" i="1"/>
  <c r="G35" i="1"/>
  <c r="X34" i="1"/>
  <c r="W34" i="1"/>
  <c r="V34" i="1"/>
  <c r="U34" i="1"/>
  <c r="G34" i="1"/>
  <c r="X33" i="1"/>
  <c r="W33" i="1"/>
  <c r="V33" i="1"/>
  <c r="G33" i="1"/>
  <c r="G32" i="1"/>
  <c r="X31" i="1"/>
  <c r="W31" i="1"/>
  <c r="U31" i="1"/>
  <c r="G31" i="1"/>
  <c r="W30" i="1"/>
  <c r="U30" i="1"/>
  <c r="Q30" i="1"/>
  <c r="V30" i="1" s="1"/>
  <c r="G30" i="1"/>
  <c r="X29" i="1"/>
  <c r="W29" i="1"/>
  <c r="V29" i="1"/>
  <c r="U29" i="1"/>
  <c r="G29" i="1"/>
  <c r="V28" i="1"/>
  <c r="U28" i="1"/>
  <c r="G28" i="1"/>
  <c r="X27" i="1"/>
  <c r="W27" i="1"/>
  <c r="V27" i="1"/>
  <c r="U27" i="1"/>
  <c r="G27" i="1"/>
  <c r="X26" i="1"/>
  <c r="W26" i="1"/>
  <c r="V26" i="1"/>
  <c r="U26" i="1"/>
  <c r="G26" i="1"/>
  <c r="X25" i="1"/>
  <c r="W25" i="1"/>
  <c r="V25" i="1"/>
  <c r="U25" i="1"/>
  <c r="G25" i="1"/>
  <c r="X24" i="1"/>
  <c r="W24" i="1"/>
  <c r="V24" i="1"/>
  <c r="U24" i="1"/>
  <c r="G24" i="1"/>
  <c r="X23" i="1"/>
  <c r="W23" i="1"/>
  <c r="V23" i="1"/>
  <c r="U23" i="1"/>
  <c r="G23" i="1"/>
  <c r="X22" i="1"/>
  <c r="W22" i="1"/>
  <c r="V22" i="1"/>
  <c r="U22" i="1"/>
  <c r="G22" i="1"/>
  <c r="X21" i="1"/>
  <c r="W21" i="1"/>
  <c r="V21" i="1"/>
  <c r="U21" i="1"/>
  <c r="G21" i="1"/>
  <c r="X20" i="1"/>
  <c r="W20" i="1"/>
  <c r="V20" i="1"/>
  <c r="U20" i="1"/>
  <c r="G20" i="1"/>
  <c r="X19" i="1"/>
  <c r="W19" i="1"/>
  <c r="U19" i="1"/>
  <c r="G19" i="1"/>
  <c r="X18" i="1"/>
  <c r="W18" i="1"/>
  <c r="V18" i="1"/>
  <c r="U18" i="1"/>
  <c r="H18" i="1"/>
  <c r="G18" i="1"/>
</calcChain>
</file>

<file path=xl/sharedStrings.xml><?xml version="1.0" encoding="utf-8"?>
<sst xmlns="http://schemas.openxmlformats.org/spreadsheetml/2006/main" count="232" uniqueCount="229">
  <si>
    <t>Додаток №198</t>
  </si>
  <si>
    <t>до рішення виконавчого комітету Чорноморської</t>
  </si>
  <si>
    <t>міської ради Одеської області</t>
  </si>
  <si>
    <t xml:space="preserve"> від__________________20______р. №_______</t>
  </si>
  <si>
    <t>Зведена таблиця скоригованих тарифів</t>
  </si>
  <si>
    <t xml:space="preserve"> на послуги з утроимання будинків, споруд та прибудинкових територій, затверджених рішенням виконавчого комітету Чорноморської міської ради від 15.02.2013 року №20 </t>
  </si>
  <si>
    <t>"Про встановлення тарифів для населення на послуги з утримання будинків та прибудинкових територій, які надаються КП "МУЖКГ"</t>
  </si>
  <si>
    <t>(згідно Постанови Кабінету Міністрів України від 01.06.2011 року №869 "Про забезпечення єдиного підходу до формування тарифів на житлово-комунальні послуги")</t>
  </si>
  <si>
    <t>№   з/п</t>
  </si>
  <si>
    <t>Адреса будинку</t>
  </si>
  <si>
    <t>Прибирання прибудинкової території</t>
  </si>
  <si>
    <t>Прибирання сходових кліток</t>
  </si>
  <si>
    <t>Вивезення та захоронення ТПВ</t>
  </si>
  <si>
    <t>Технічне обслуговування ліфтів</t>
  </si>
  <si>
    <t>Технічне обслуговування внутрішньо будинкових систем</t>
  </si>
  <si>
    <t xml:space="preserve">Дератизація </t>
  </si>
  <si>
    <t>Дезинсекція</t>
  </si>
  <si>
    <t>Поточний ремонт житлового будинку</t>
  </si>
  <si>
    <t>Обслуговування систем диспетчеризації</t>
  </si>
  <si>
    <t>Технічне обслуговування димовентиляційних каналів</t>
  </si>
  <si>
    <t>Прибирання підвалів</t>
  </si>
  <si>
    <t>Освітлення місць загального користування</t>
  </si>
  <si>
    <t>Енергопостачання ліфтів</t>
  </si>
  <si>
    <t>Тариф діючий з ПДВ,грн./м2 (затвердж.рішенням від 15.02.2013 р.№20)</t>
  </si>
  <si>
    <t>Коефіцієнт зміни витрат Кзв</t>
  </si>
  <si>
    <t>Скорегований тариф з ПДВ, грн./м2</t>
  </si>
  <si>
    <t>Для квартир 2 поверху і вище з прибиран.сходових кліток</t>
  </si>
  <si>
    <t>Для квартир 1 поверху з прибиран.сходових кліток</t>
  </si>
  <si>
    <t>Для квартир 2 поверху і вище без прибиран.сходових кліток</t>
  </si>
  <si>
    <t>Для квартир 1 поверху без прибиран. сходових кліток</t>
  </si>
  <si>
    <t>Для квартир 1 поверху без прибиран.сходових кліток</t>
  </si>
  <si>
    <t>1Травня, 2</t>
  </si>
  <si>
    <t>1Травня, 5</t>
  </si>
  <si>
    <t>1Травня, 7</t>
  </si>
  <si>
    <t>1Травня, 8а</t>
  </si>
  <si>
    <t>1Травня, 10</t>
  </si>
  <si>
    <t>1Травня, 11</t>
  </si>
  <si>
    <t>1Травня, 13</t>
  </si>
  <si>
    <t>1Травня, 17</t>
  </si>
  <si>
    <t>Лазурна, 3</t>
  </si>
  <si>
    <t>Лазурна, 7</t>
  </si>
  <si>
    <t>Пр-т Миру, 20а</t>
  </si>
  <si>
    <t>1Травня, 7а</t>
  </si>
  <si>
    <t>Пр-т Миру, 35г</t>
  </si>
  <si>
    <t>Парусна, 10</t>
  </si>
  <si>
    <t>Парусна, 2а</t>
  </si>
  <si>
    <t>В.Шума, 13а</t>
  </si>
  <si>
    <t>В.Шума, 21</t>
  </si>
  <si>
    <t>Паркова, 34</t>
  </si>
  <si>
    <t>Пр-т Миру, 32</t>
  </si>
  <si>
    <t>Пр-т Миру, 25</t>
  </si>
  <si>
    <t>Пр-т Миру, 27</t>
  </si>
  <si>
    <t>Пр-т Миру, 29</t>
  </si>
  <si>
    <t>Парусна, 14</t>
  </si>
  <si>
    <t>Парусна, 16</t>
  </si>
  <si>
    <t>В.Шума, 17а</t>
  </si>
  <si>
    <t>Шевченко, 2а</t>
  </si>
  <si>
    <t>Шевченко, 5а</t>
  </si>
  <si>
    <t>Шевченко, 6</t>
  </si>
  <si>
    <t>Шевченко, 11</t>
  </si>
  <si>
    <t>Шевченко, 13</t>
  </si>
  <si>
    <t>Корабельна ,2</t>
  </si>
  <si>
    <t>Корабельна ,3</t>
  </si>
  <si>
    <t>Корабельна ,4</t>
  </si>
  <si>
    <t>Корабельна ,6</t>
  </si>
  <si>
    <t>Корабельна ,12</t>
  </si>
  <si>
    <t>Данченко, 4</t>
  </si>
  <si>
    <t>Данченко, 6</t>
  </si>
  <si>
    <t>Данченко, 7</t>
  </si>
  <si>
    <t>1Травня, 15а</t>
  </si>
  <si>
    <t>Олександ.,18</t>
  </si>
  <si>
    <t>Олександ.,19</t>
  </si>
  <si>
    <t>Олександ.,20</t>
  </si>
  <si>
    <t>Олександ.,24</t>
  </si>
  <si>
    <t>Парусна, 2</t>
  </si>
  <si>
    <t>Парусна, 4</t>
  </si>
  <si>
    <t>Парусна, 4а</t>
  </si>
  <si>
    <t>Парусна, 6</t>
  </si>
  <si>
    <t>Парусна 8</t>
  </si>
  <si>
    <t>Парусна, 11</t>
  </si>
  <si>
    <t>Парусна, 12</t>
  </si>
  <si>
    <t>Парусна, 13</t>
  </si>
  <si>
    <t>В.Шума, 6</t>
  </si>
  <si>
    <t>В.Шума, 6а</t>
  </si>
  <si>
    <t>В.Шума, 9</t>
  </si>
  <si>
    <t>В.Шума, 11</t>
  </si>
  <si>
    <t>В.Шума, 13</t>
  </si>
  <si>
    <t>В.Шума, 15</t>
  </si>
  <si>
    <t>В.Шума, 17</t>
  </si>
  <si>
    <t>В.Шума, 19</t>
  </si>
  <si>
    <t>Олександ.,12</t>
  </si>
  <si>
    <t>Олександ.,18а</t>
  </si>
  <si>
    <t>Парусна, 3</t>
  </si>
  <si>
    <t>Парусна, 5</t>
  </si>
  <si>
    <t>Парусна,7</t>
  </si>
  <si>
    <t>Парусна,9</t>
  </si>
  <si>
    <t>Спортивна, 3</t>
  </si>
  <si>
    <t>Спортивна, 5</t>
  </si>
  <si>
    <t>Спортивна, 6</t>
  </si>
  <si>
    <t>Спортивна, 8</t>
  </si>
  <si>
    <t>Спортивна, 10</t>
  </si>
  <si>
    <t>Спортивна, 12</t>
  </si>
  <si>
    <t>Спортивна, 12а</t>
  </si>
  <si>
    <t>Спортивна, 6а</t>
  </si>
  <si>
    <t>Паркова, 4</t>
  </si>
  <si>
    <t>Паркова, 6</t>
  </si>
  <si>
    <t>Паркова, 36</t>
  </si>
  <si>
    <t>Паркова, 8</t>
  </si>
  <si>
    <t>Олександ.,10</t>
  </si>
  <si>
    <t>Олександ.,22</t>
  </si>
  <si>
    <t>Пр-т Миру, 22</t>
  </si>
  <si>
    <t>Пр-т Миру, 24</t>
  </si>
  <si>
    <t>Пр-т Миру, 26</t>
  </si>
  <si>
    <t>Пр-т Миру, 28</t>
  </si>
  <si>
    <t>Пр-т Миру, 39</t>
  </si>
  <si>
    <t>Пр-т Миру, 41</t>
  </si>
  <si>
    <t>Пр-т Миру, 43</t>
  </si>
  <si>
    <t>Олександр.,11</t>
  </si>
  <si>
    <t>Олександ.,13</t>
  </si>
  <si>
    <t>Олександ.,15</t>
  </si>
  <si>
    <t>Пр-т Миру, 35б</t>
  </si>
  <si>
    <t>Паркова, 8а</t>
  </si>
  <si>
    <t>Паркова, 10</t>
  </si>
  <si>
    <t>Паркова, 12</t>
  </si>
  <si>
    <t>Паркова, 14</t>
  </si>
  <si>
    <t>Паркова, 16</t>
  </si>
  <si>
    <t>Паркова, 18</t>
  </si>
  <si>
    <t>Паркова, 20</t>
  </si>
  <si>
    <t>Паркова, 22</t>
  </si>
  <si>
    <t>Паркова, 24</t>
  </si>
  <si>
    <t>Паркова, 26</t>
  </si>
  <si>
    <t>Паркова, 2</t>
  </si>
  <si>
    <t>Паркова, 2а</t>
  </si>
  <si>
    <t>Пр-т Миру, 19</t>
  </si>
  <si>
    <t>Пр-т Миру, 11</t>
  </si>
  <si>
    <t>Пр-т Миру, 13а</t>
  </si>
  <si>
    <t>Пр-т Миру, 17</t>
  </si>
  <si>
    <t>Пр-т Миру, 21</t>
  </si>
  <si>
    <t>Пр-т Миру, 23</t>
  </si>
  <si>
    <t>Пр-т Миру, 15б</t>
  </si>
  <si>
    <t>Пр-т Миру, 15а</t>
  </si>
  <si>
    <t>Данченко, 1</t>
  </si>
  <si>
    <t>Данченко, 1а</t>
  </si>
  <si>
    <t>Данченко, 3</t>
  </si>
  <si>
    <t>Данченко, 3а</t>
  </si>
  <si>
    <t>Данченко, 3в</t>
  </si>
  <si>
    <t>Данченко, 5</t>
  </si>
  <si>
    <t>Данченко, 5а</t>
  </si>
  <si>
    <t>Данченко, 3б</t>
  </si>
  <si>
    <t>Данченко, 2</t>
  </si>
  <si>
    <t>Данченко, 8</t>
  </si>
  <si>
    <t>Данченко, 9</t>
  </si>
  <si>
    <t>Данченко, 10</t>
  </si>
  <si>
    <t>Данченко, 11</t>
  </si>
  <si>
    <t>Данченко, 12</t>
  </si>
  <si>
    <t>Данченко, 13</t>
  </si>
  <si>
    <t>Данченко, 14</t>
  </si>
  <si>
    <t>Данченко, 17</t>
  </si>
  <si>
    <t>Данченко, 19</t>
  </si>
  <si>
    <t>Данченко, 21</t>
  </si>
  <si>
    <t>1Травня, 4</t>
  </si>
  <si>
    <t>1Травня, 4а</t>
  </si>
  <si>
    <t>1Травня, 2а</t>
  </si>
  <si>
    <t>Пр-т Миру, 1</t>
  </si>
  <si>
    <t>Пр-т Миру, 2</t>
  </si>
  <si>
    <t>Пр-т Миру, 3</t>
  </si>
  <si>
    <t>Пр-т Миру, 3а</t>
  </si>
  <si>
    <t>Олександ.,1</t>
  </si>
  <si>
    <t>Олександ.,2</t>
  </si>
  <si>
    <t>Олександ.,2а</t>
  </si>
  <si>
    <t>Олександ.,3</t>
  </si>
  <si>
    <t>Олександ.,5</t>
  </si>
  <si>
    <t>Олександ.,7</t>
  </si>
  <si>
    <t>Олександ.,9</t>
  </si>
  <si>
    <t>Олександ.,4</t>
  </si>
  <si>
    <t>Олександ.,4а</t>
  </si>
  <si>
    <t>Пр-т Миру, 4</t>
  </si>
  <si>
    <t>Пр-т Миру, 5а</t>
  </si>
  <si>
    <t>Пр-т Миру, 4а</t>
  </si>
  <si>
    <t>Пр-т Миру, 4б</t>
  </si>
  <si>
    <t>Пр-т Миру, 6</t>
  </si>
  <si>
    <t>Пр-т Миру, 6а</t>
  </si>
  <si>
    <t>Пр-т Миру, 7</t>
  </si>
  <si>
    <t>Пр-т Миру, 7а</t>
  </si>
  <si>
    <t>Пр-т Миру, 8</t>
  </si>
  <si>
    <t>Пр-т Миру, 9</t>
  </si>
  <si>
    <t>Пр-т Миру, 10</t>
  </si>
  <si>
    <t>Пр-т Миру, 12</t>
  </si>
  <si>
    <t>Пр-т Миру, 14а</t>
  </si>
  <si>
    <t>Пр-т Миру, 16</t>
  </si>
  <si>
    <t>Пр-т Миру, 18</t>
  </si>
  <si>
    <t>Пр-т Миру, 18а</t>
  </si>
  <si>
    <t>Корабельна, 2а</t>
  </si>
  <si>
    <t>Корабельна, 4а</t>
  </si>
  <si>
    <t>Корабельна, 4б</t>
  </si>
  <si>
    <t>Корабельна, 5</t>
  </si>
  <si>
    <t>Корабельна, 6а</t>
  </si>
  <si>
    <t>Корабельна, 7</t>
  </si>
  <si>
    <t>Корабельна, 8</t>
  </si>
  <si>
    <t>Корабельна, 9</t>
  </si>
  <si>
    <t>Хантадзе, 12</t>
  </si>
  <si>
    <t>Хантадзе, 14</t>
  </si>
  <si>
    <t>Шкіл. пров., 2</t>
  </si>
  <si>
    <t>Шкіл. пров., 4</t>
  </si>
  <si>
    <t>Данченко, 15</t>
  </si>
  <si>
    <t>Данченко, 16</t>
  </si>
  <si>
    <t>Данченко, 20</t>
  </si>
  <si>
    <t>Данченко, 22</t>
  </si>
  <si>
    <t>Данченко, 24</t>
  </si>
  <si>
    <t>Данченко, 26</t>
  </si>
  <si>
    <t>Хантадзе, 2</t>
  </si>
  <si>
    <t>Хантадзе, 4</t>
  </si>
  <si>
    <t>Хантадзе, 8</t>
  </si>
  <si>
    <t>Хантадзе, 10</t>
  </si>
  <si>
    <t>Хантадзе, 12а</t>
  </si>
  <si>
    <t>Хантадзе, 16</t>
  </si>
  <si>
    <t>Праці, 3</t>
  </si>
  <si>
    <t>Праці, 7а</t>
  </si>
  <si>
    <t>Праці, 9</t>
  </si>
  <si>
    <t>Праці, 9а</t>
  </si>
  <si>
    <t>Праці, 11</t>
  </si>
  <si>
    <t>Праці, 11а</t>
  </si>
  <si>
    <t>Шевченко, 10</t>
  </si>
  <si>
    <t>Торгова, 1</t>
  </si>
  <si>
    <t>Садова, 23</t>
  </si>
  <si>
    <t>скв.Перем., 1</t>
  </si>
  <si>
    <t>скв.Перем., 8</t>
  </si>
  <si>
    <t>скв.Перем., 10</t>
  </si>
  <si>
    <t>Керуючий справами                                            Лубковський І.А.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</si>
</sst>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4" fillId="0" borderId="0" xfId="0" applyFont="1"/>
    <xf numFmtId="0" fontId="5" fillId="0" borderId="0" xfId="0" applyFont="1"/>
    <xf numFmtId="0" fontId="1" fillId="3" borderId="10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15" xfId="0" applyFont="1" applyFill="1" applyBorder="1"/>
    <xf numFmtId="0" fontId="2" fillId="0" borderId="15" xfId="0" applyFont="1" applyFill="1" applyBorder="1"/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164" fontId="1" fillId="0" borderId="17" xfId="0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2" fontId="1" fillId="0" borderId="17" xfId="0" applyNumberFormat="1" applyFont="1" applyFill="1" applyBorder="1" applyAlignment="1">
      <alignment horizontal="center"/>
    </xf>
    <xf numFmtId="2" fontId="1" fillId="0" borderId="18" xfId="0" applyNumberFormat="1" applyFont="1" applyFill="1" applyBorder="1" applyAlignment="1">
      <alignment horizontal="center"/>
    </xf>
    <xf numFmtId="0" fontId="1" fillId="0" borderId="19" xfId="0" applyFont="1" applyFill="1" applyBorder="1"/>
    <xf numFmtId="0" fontId="2" fillId="0" borderId="19" xfId="0" applyFont="1" applyFill="1" applyBorder="1"/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2" fontId="1" fillId="0" borderId="21" xfId="0" applyNumberFormat="1" applyFont="1" applyFill="1" applyBorder="1" applyAlignment="1">
      <alignment horizontal="center"/>
    </xf>
    <xf numFmtId="0" fontId="1" fillId="0" borderId="22" xfId="0" applyFont="1" applyFill="1" applyBorder="1"/>
    <xf numFmtId="165" fontId="1" fillId="0" borderId="20" xfId="0" applyNumberFormat="1" applyFont="1" applyFill="1" applyBorder="1" applyAlignment="1">
      <alignment horizontal="center"/>
    </xf>
    <xf numFmtId="165" fontId="1" fillId="0" borderId="21" xfId="0" applyNumberFormat="1" applyFont="1" applyFill="1" applyBorder="1" applyAlignment="1">
      <alignment horizontal="center"/>
    </xf>
    <xf numFmtId="165" fontId="9" fillId="0" borderId="21" xfId="0" applyNumberFormat="1" applyFont="1" applyFill="1" applyBorder="1" applyAlignment="1">
      <alignment horizontal="center"/>
    </xf>
    <xf numFmtId="164" fontId="9" fillId="0" borderId="21" xfId="0" applyNumberFormat="1" applyFont="1" applyFill="1" applyBorder="1" applyAlignment="1">
      <alignment horizontal="center"/>
    </xf>
    <xf numFmtId="2" fontId="1" fillId="0" borderId="23" xfId="0" applyNumberFormat="1" applyFont="1" applyFill="1" applyBorder="1" applyAlignment="1">
      <alignment horizontal="center"/>
    </xf>
    <xf numFmtId="165" fontId="9" fillId="0" borderId="21" xfId="0" applyNumberFormat="1" applyFont="1" applyFill="1" applyBorder="1"/>
    <xf numFmtId="0" fontId="9" fillId="0" borderId="21" xfId="0" applyFont="1" applyFill="1" applyBorder="1"/>
    <xf numFmtId="2" fontId="1" fillId="0" borderId="2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/>
    </xf>
    <xf numFmtId="0" fontId="10" fillId="0" borderId="19" xfId="0" applyFont="1" applyFill="1" applyBorder="1"/>
    <xf numFmtId="0" fontId="11" fillId="0" borderId="19" xfId="0" applyFont="1" applyFill="1" applyBorder="1"/>
    <xf numFmtId="0" fontId="10" fillId="0" borderId="20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/>
    </xf>
    <xf numFmtId="0" fontId="12" fillId="0" borderId="21" xfId="0" applyFont="1" applyFill="1" applyBorder="1"/>
    <xf numFmtId="2" fontId="10" fillId="0" borderId="21" xfId="0" applyNumberFormat="1" applyFont="1" applyFill="1" applyBorder="1" applyAlignment="1">
      <alignment horizontal="center"/>
    </xf>
    <xf numFmtId="2" fontId="10" fillId="0" borderId="23" xfId="0" applyNumberFormat="1" applyFont="1" applyFill="1" applyBorder="1" applyAlignment="1">
      <alignment horizontal="center"/>
    </xf>
    <xf numFmtId="165" fontId="10" fillId="0" borderId="21" xfId="0" applyNumberFormat="1" applyFont="1" applyFill="1" applyBorder="1" applyAlignment="1">
      <alignment horizontal="center"/>
    </xf>
    <xf numFmtId="0" fontId="10" fillId="0" borderId="22" xfId="0" applyFont="1" applyFill="1" applyBorder="1"/>
    <xf numFmtId="165" fontId="12" fillId="0" borderId="21" xfId="0" applyNumberFormat="1" applyFont="1" applyFill="1" applyBorder="1"/>
    <xf numFmtId="165" fontId="10" fillId="0" borderId="2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9" fillId="0" borderId="21" xfId="0" applyNumberFormat="1" applyFont="1" applyFill="1" applyBorder="1"/>
    <xf numFmtId="0" fontId="1" fillId="0" borderId="9" xfId="0" applyFont="1" applyFill="1" applyBorder="1"/>
    <xf numFmtId="0" fontId="2" fillId="0" borderId="24" xfId="0" applyFont="1" applyFill="1" applyBorder="1"/>
    <xf numFmtId="0" fontId="1" fillId="0" borderId="25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164" fontId="1" fillId="0" borderId="26" xfId="0" applyNumberFormat="1" applyFont="1" applyFill="1" applyBorder="1" applyAlignment="1">
      <alignment horizontal="center"/>
    </xf>
    <xf numFmtId="0" fontId="9" fillId="0" borderId="26" xfId="0" applyFont="1" applyFill="1" applyBorder="1"/>
    <xf numFmtId="2" fontId="1" fillId="0" borderId="26" xfId="0" applyNumberFormat="1" applyFont="1" applyFill="1" applyBorder="1" applyAlignment="1">
      <alignment horizontal="center"/>
    </xf>
    <xf numFmtId="2" fontId="1" fillId="0" borderId="27" xfId="0" applyNumberFormat="1" applyFont="1" applyFill="1" applyBorder="1" applyAlignment="1">
      <alignment horizontal="center"/>
    </xf>
    <xf numFmtId="0" fontId="1" fillId="3" borderId="0" xfId="0" applyFont="1" applyFill="1" applyBorder="1"/>
    <xf numFmtId="0" fontId="2" fillId="0" borderId="0" xfId="0" applyFont="1" applyBorder="1"/>
    <xf numFmtId="0" fontId="1" fillId="0" borderId="0" xfId="0" applyFont="1" applyBorder="1"/>
    <xf numFmtId="0" fontId="2" fillId="2" borderId="0" xfId="0" applyFont="1" applyFill="1" applyBorder="1"/>
    <xf numFmtId="0" fontId="13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7" fillId="0" borderId="9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9" xfId="0" applyFont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&#1058;&#1040;&#1056;&#1048;&#1060;&#1067;_2016/&#1082;&#1086;&#1088;&#1080;&#1075;_&#1077;&#1083;&#1077;&#1082;&#1088;&#1086;&#1079;&#1088;%20&#1082;&#1074;&#1072;&#1088;%20&#8470;1%20&#1085;&#1072;%202017%20&#1075;&#1086;&#1076;%20&#1089;%20&#1083;&#1077;&#1089;&#1090;.%20&#1082;&#1083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-2,4,3,5"/>
      <sheetName val="Ж-5,1"/>
      <sheetName val="Ж-1"/>
      <sheetName val="Ж-5"/>
      <sheetName val="Ж-3"/>
      <sheetName val="Ж-3.1"/>
      <sheetName val="Ж-3, Ж-4"/>
      <sheetName val="Ж-4"/>
      <sheetName val="Ж-4,Ж-2"/>
      <sheetName val="Ж-2.1"/>
      <sheetName val="Ж4-3дома"/>
      <sheetName val="д.1-10"/>
      <sheetName val="д.11-20"/>
      <sheetName val="д.21-30"/>
      <sheetName val="д.31-40"/>
      <sheetName val="дод.41-50"/>
      <sheetName val="д.51-60"/>
      <sheetName val="д.61-70"/>
      <sheetName val="дод.7"/>
      <sheetName val="д.71-80"/>
      <sheetName val="д.81-90"/>
      <sheetName val="д.91-1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">
          <cell r="D9">
            <v>4563.2</v>
          </cell>
        </row>
        <row r="511">
          <cell r="F511">
            <v>2.8197839531859268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1"/>
  <sheetViews>
    <sheetView tabSelected="1" workbookViewId="0"/>
  </sheetViews>
  <sheetFormatPr defaultRowHeight="15" x14ac:dyDescent="0.25"/>
  <cols>
    <col min="1" max="1" width="3.28515625" customWidth="1"/>
    <col min="2" max="2" width="13.85546875" customWidth="1"/>
    <col min="3" max="15" width="6.85546875" customWidth="1"/>
    <col min="16" max="24" width="8" customWidth="1"/>
  </cols>
  <sheetData>
    <row r="1" spans="1:24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T1" s="1"/>
      <c r="U1" s="4"/>
      <c r="V1" s="2"/>
      <c r="W1" s="2"/>
      <c r="X1" s="2"/>
    </row>
    <row r="2" spans="1:24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 t="s">
        <v>1</v>
      </c>
      <c r="R2" s="2"/>
      <c r="S2" s="2"/>
      <c r="T2" s="3"/>
      <c r="U2" s="4"/>
      <c r="V2" s="2"/>
      <c r="W2" s="2"/>
      <c r="X2" s="2"/>
    </row>
    <row r="3" spans="1:24" x14ac:dyDescent="0.2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 t="s">
        <v>2</v>
      </c>
      <c r="R3" s="2"/>
      <c r="S3" s="2"/>
      <c r="T3" s="1"/>
      <c r="U3" s="4"/>
      <c r="V3" s="2"/>
      <c r="W3" s="2"/>
      <c r="X3" s="2"/>
    </row>
    <row r="4" spans="1:24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 t="s">
        <v>3</v>
      </c>
      <c r="R4" s="2"/>
      <c r="S4" s="2"/>
      <c r="T4" s="1"/>
      <c r="U4" s="4"/>
      <c r="V4" s="2"/>
      <c r="W4" s="2"/>
      <c r="X4" s="2"/>
    </row>
    <row r="5" spans="1:24" x14ac:dyDescent="0.25">
      <c r="A5" s="1"/>
      <c r="B5" s="5"/>
      <c r="C5" s="5"/>
      <c r="D5" s="5"/>
      <c r="E5" s="5"/>
      <c r="F5" s="5"/>
      <c r="G5" s="5"/>
      <c r="H5" s="5"/>
      <c r="I5" s="6" t="s">
        <v>4</v>
      </c>
      <c r="J5" s="5"/>
      <c r="K5" s="6"/>
      <c r="L5" s="5"/>
      <c r="M5" s="5"/>
      <c r="N5" s="5"/>
      <c r="O5" s="5"/>
      <c r="P5" s="5"/>
      <c r="Q5" s="5"/>
      <c r="R5" s="5"/>
      <c r="S5" s="5"/>
      <c r="T5" s="1"/>
      <c r="U5" s="4"/>
      <c r="V5" s="2"/>
      <c r="W5" s="2"/>
      <c r="X5" s="2"/>
    </row>
    <row r="6" spans="1:24" x14ac:dyDescent="0.25">
      <c r="A6" s="1"/>
      <c r="B6" s="5" t="s">
        <v>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"/>
      <c r="U6" s="4"/>
      <c r="V6" s="2"/>
      <c r="W6" s="2"/>
      <c r="X6" s="2"/>
    </row>
    <row r="7" spans="1:24" x14ac:dyDescent="0.25">
      <c r="A7" s="1"/>
      <c r="B7" s="5" t="s">
        <v>6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"/>
      <c r="U7" s="4"/>
      <c r="V7" s="2"/>
      <c r="W7" s="2"/>
      <c r="X7" s="2"/>
    </row>
    <row r="8" spans="1:24" ht="15.75" thickBot="1" x14ac:dyDescent="0.3">
      <c r="A8" s="1"/>
      <c r="B8" s="5" t="s">
        <v>7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"/>
      <c r="U8" s="4"/>
      <c r="V8" s="2"/>
      <c r="W8" s="2"/>
      <c r="X8" s="2"/>
    </row>
    <row r="9" spans="1:24" x14ac:dyDescent="0.25">
      <c r="A9" s="69" t="s">
        <v>8</v>
      </c>
      <c r="B9" s="66" t="s">
        <v>9</v>
      </c>
      <c r="C9" s="66" t="s">
        <v>10</v>
      </c>
      <c r="D9" s="66" t="s">
        <v>11</v>
      </c>
      <c r="E9" s="66" t="s">
        <v>12</v>
      </c>
      <c r="F9" s="66" t="s">
        <v>13</v>
      </c>
      <c r="G9" s="66" t="s">
        <v>14</v>
      </c>
      <c r="H9" s="66" t="s">
        <v>15</v>
      </c>
      <c r="I9" s="66" t="s">
        <v>16</v>
      </c>
      <c r="J9" s="66" t="s">
        <v>17</v>
      </c>
      <c r="K9" s="66" t="s">
        <v>18</v>
      </c>
      <c r="L9" s="66" t="s">
        <v>19</v>
      </c>
      <c r="M9" s="66" t="s">
        <v>20</v>
      </c>
      <c r="N9" s="66" t="s">
        <v>21</v>
      </c>
      <c r="O9" s="66" t="s">
        <v>22</v>
      </c>
      <c r="P9" s="75" t="s">
        <v>23</v>
      </c>
      <c r="Q9" s="76"/>
      <c r="R9" s="76"/>
      <c r="S9" s="77"/>
      <c r="T9" s="81" t="s">
        <v>24</v>
      </c>
      <c r="U9" s="84" t="s">
        <v>25</v>
      </c>
      <c r="V9" s="76"/>
      <c r="W9" s="76"/>
      <c r="X9" s="77"/>
    </row>
    <row r="10" spans="1:24" ht="20.25" customHeight="1" thickBot="1" x14ac:dyDescent="0.3">
      <c r="A10" s="70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78"/>
      <c r="Q10" s="79"/>
      <c r="R10" s="79"/>
      <c r="S10" s="80"/>
      <c r="T10" s="82"/>
      <c r="U10" s="78"/>
      <c r="V10" s="79"/>
      <c r="W10" s="79"/>
      <c r="X10" s="80"/>
    </row>
    <row r="11" spans="1:24" x14ac:dyDescent="0.25">
      <c r="A11" s="70"/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72" t="s">
        <v>26</v>
      </c>
      <c r="Q11" s="72" t="s">
        <v>27</v>
      </c>
      <c r="R11" s="72" t="s">
        <v>28</v>
      </c>
      <c r="S11" s="72" t="s">
        <v>29</v>
      </c>
      <c r="T11" s="82"/>
      <c r="U11" s="72" t="s">
        <v>26</v>
      </c>
      <c r="V11" s="72" t="s">
        <v>27</v>
      </c>
      <c r="W11" s="72" t="s">
        <v>28</v>
      </c>
      <c r="X11" s="72" t="s">
        <v>30</v>
      </c>
    </row>
    <row r="12" spans="1:24" x14ac:dyDescent="0.25">
      <c r="A12" s="70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73"/>
      <c r="Q12" s="73"/>
      <c r="R12" s="73"/>
      <c r="S12" s="73"/>
      <c r="T12" s="82"/>
      <c r="U12" s="73"/>
      <c r="V12" s="73"/>
      <c r="W12" s="73"/>
      <c r="X12" s="73"/>
    </row>
    <row r="13" spans="1:24" x14ac:dyDescent="0.25">
      <c r="A13" s="70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73"/>
      <c r="Q13" s="73"/>
      <c r="R13" s="73"/>
      <c r="S13" s="73"/>
      <c r="T13" s="82"/>
      <c r="U13" s="73"/>
      <c r="V13" s="73"/>
      <c r="W13" s="73"/>
      <c r="X13" s="73"/>
    </row>
    <row r="14" spans="1:24" x14ac:dyDescent="0.25">
      <c r="A14" s="70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73"/>
      <c r="Q14" s="73"/>
      <c r="R14" s="73"/>
      <c r="S14" s="73"/>
      <c r="T14" s="82"/>
      <c r="U14" s="73"/>
      <c r="V14" s="73"/>
      <c r="W14" s="73"/>
      <c r="X14" s="73"/>
    </row>
    <row r="15" spans="1:24" x14ac:dyDescent="0.25">
      <c r="A15" s="70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73"/>
      <c r="Q15" s="73"/>
      <c r="R15" s="73"/>
      <c r="S15" s="73"/>
      <c r="T15" s="82"/>
      <c r="U15" s="73"/>
      <c r="V15" s="73"/>
      <c r="W15" s="73"/>
      <c r="X15" s="73"/>
    </row>
    <row r="16" spans="1:24" ht="15.75" thickBot="1" x14ac:dyDescent="0.3">
      <c r="A16" s="71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74"/>
      <c r="Q16" s="74"/>
      <c r="R16" s="74"/>
      <c r="S16" s="74"/>
      <c r="T16" s="83"/>
      <c r="U16" s="74"/>
      <c r="V16" s="74"/>
      <c r="W16" s="74"/>
      <c r="X16" s="74"/>
    </row>
    <row r="17" spans="1:24" ht="15.75" thickBot="1" x14ac:dyDescent="0.3">
      <c r="A17" s="7">
        <v>1</v>
      </c>
      <c r="B17" s="8">
        <v>2</v>
      </c>
      <c r="C17" s="9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9">
        <v>12</v>
      </c>
      <c r="M17" s="9">
        <v>13</v>
      </c>
      <c r="N17" s="9">
        <v>14</v>
      </c>
      <c r="O17" s="9">
        <v>15</v>
      </c>
      <c r="P17" s="9">
        <v>16</v>
      </c>
      <c r="Q17" s="9">
        <v>17</v>
      </c>
      <c r="R17" s="9">
        <v>18</v>
      </c>
      <c r="S17" s="9">
        <v>19</v>
      </c>
      <c r="T17" s="10">
        <v>20</v>
      </c>
      <c r="U17" s="11">
        <v>21</v>
      </c>
      <c r="V17" s="12">
        <v>22</v>
      </c>
      <c r="W17" s="13">
        <v>23</v>
      </c>
      <c r="X17" s="13">
        <v>24</v>
      </c>
    </row>
    <row r="18" spans="1:24" x14ac:dyDescent="0.25">
      <c r="A18" s="14">
        <v>1</v>
      </c>
      <c r="B18" s="15" t="s">
        <v>31</v>
      </c>
      <c r="C18" s="16">
        <v>0.1391</v>
      </c>
      <c r="D18" s="17">
        <v>0.6583</v>
      </c>
      <c r="E18" s="18">
        <v>0.30249999999999999</v>
      </c>
      <c r="F18" s="18">
        <v>0.42159999999999997</v>
      </c>
      <c r="G18" s="18">
        <f>0.1469+0.0378+0.0336</f>
        <v>0.21829999999999999</v>
      </c>
      <c r="H18" s="18">
        <f>0.0003</f>
        <v>2.9999999999999997E-4</v>
      </c>
      <c r="I18" s="18">
        <v>1.5E-3</v>
      </c>
      <c r="J18" s="18">
        <v>1.1113</v>
      </c>
      <c r="K18" s="18">
        <v>6.8400000000000002E-2</v>
      </c>
      <c r="L18" s="18">
        <v>9.7000000000000003E-3</v>
      </c>
      <c r="M18" s="18">
        <v>8.9999999999999998E-4</v>
      </c>
      <c r="N18" s="18">
        <v>0.12690000000000001</v>
      </c>
      <c r="O18" s="18">
        <v>5.8500000000000003E-2</v>
      </c>
      <c r="P18" s="17">
        <v>3.12</v>
      </c>
      <c r="Q18" s="17">
        <v>2.57</v>
      </c>
      <c r="R18" s="17">
        <v>2.46</v>
      </c>
      <c r="S18" s="17">
        <v>1.91</v>
      </c>
      <c r="T18" s="19">
        <v>1.5995999999999999</v>
      </c>
      <c r="U18" s="20">
        <f>P18*T18</f>
        <v>4.9907519999999996</v>
      </c>
      <c r="V18" s="20">
        <f>Q18*T18</f>
        <v>4.1109719999999994</v>
      </c>
      <c r="W18" s="20">
        <f>R18*T18</f>
        <v>3.9350159999999996</v>
      </c>
      <c r="X18" s="21">
        <f>S18*T18</f>
        <v>3.0552359999999998</v>
      </c>
    </row>
    <row r="19" spans="1:24" x14ac:dyDescent="0.25">
      <c r="A19" s="22">
        <v>2</v>
      </c>
      <c r="B19" s="23" t="s">
        <v>32</v>
      </c>
      <c r="C19" s="24">
        <v>0.22289999999999999</v>
      </c>
      <c r="D19" s="25">
        <v>0.51780000000000004</v>
      </c>
      <c r="E19" s="26">
        <v>0.2898</v>
      </c>
      <c r="F19" s="26">
        <v>0.42020000000000002</v>
      </c>
      <c r="G19" s="26">
        <f>0.1368+0.0402+0.0299</f>
        <v>0.2069</v>
      </c>
      <c r="H19" s="26">
        <v>8.9999999999999998E-4</v>
      </c>
      <c r="I19" s="26">
        <v>4.4999999999999997E-3</v>
      </c>
      <c r="J19" s="26">
        <v>0.99360000000000004</v>
      </c>
      <c r="K19" s="26">
        <v>6.8400000000000002E-2</v>
      </c>
      <c r="L19" s="26">
        <v>1.0200000000000001E-2</v>
      </c>
      <c r="M19" s="26">
        <v>2.5999999999999999E-3</v>
      </c>
      <c r="N19" s="26">
        <v>7.9000000000000001E-2</v>
      </c>
      <c r="O19" s="26">
        <v>0.1169</v>
      </c>
      <c r="P19" s="25">
        <v>2.94</v>
      </c>
      <c r="Q19" s="25">
        <v>2.33</v>
      </c>
      <c r="R19" s="25">
        <v>2.42</v>
      </c>
      <c r="S19" s="25">
        <v>1.82</v>
      </c>
      <c r="T19" s="27">
        <v>1.6783999999999999</v>
      </c>
      <c r="U19" s="28">
        <f t="shared" ref="U19:U30" si="0">P19*T19</f>
        <v>4.9344959999999993</v>
      </c>
      <c r="V19" s="28">
        <v>3.92</v>
      </c>
      <c r="W19" s="20">
        <f t="shared" ref="W19:W81" si="1">R19*T19</f>
        <v>4.0617279999999996</v>
      </c>
      <c r="X19" s="21">
        <f t="shared" ref="X19:X82" si="2">S19*T19</f>
        <v>3.0546880000000001</v>
      </c>
    </row>
    <row r="20" spans="1:24" x14ac:dyDescent="0.25">
      <c r="A20" s="22">
        <v>3</v>
      </c>
      <c r="B20" s="23" t="s">
        <v>33</v>
      </c>
      <c r="C20" s="24">
        <v>0.35670000000000002</v>
      </c>
      <c r="D20" s="25">
        <v>0.7944</v>
      </c>
      <c r="E20" s="26">
        <v>0.62260000000000004</v>
      </c>
      <c r="F20" s="26"/>
      <c r="G20" s="26">
        <f>0.1258+0.0476+0.0335</f>
        <v>0.2069</v>
      </c>
      <c r="H20" s="26">
        <v>3.3E-3</v>
      </c>
      <c r="I20" s="26">
        <v>1.6299999999999999E-2</v>
      </c>
      <c r="J20" s="26">
        <v>0.75480000000000003</v>
      </c>
      <c r="K20" s="26"/>
      <c r="L20" s="26">
        <v>4.02E-2</v>
      </c>
      <c r="M20" s="26">
        <v>8.6999999999999994E-3</v>
      </c>
      <c r="N20" s="26">
        <v>6.0400000000000002E-2</v>
      </c>
      <c r="O20" s="26"/>
      <c r="P20" s="25">
        <v>2.86</v>
      </c>
      <c r="Q20" s="25">
        <v>2.86</v>
      </c>
      <c r="R20" s="25">
        <v>2.0699999999999998</v>
      </c>
      <c r="S20" s="25">
        <v>2.0699999999999998</v>
      </c>
      <c r="T20" s="27">
        <v>1.3918999999999999</v>
      </c>
      <c r="U20" s="28">
        <f t="shared" si="0"/>
        <v>3.9808339999999998</v>
      </c>
      <c r="V20" s="28">
        <f t="shared" ref="V20:V82" si="3">Q20*T20</f>
        <v>3.9808339999999998</v>
      </c>
      <c r="W20" s="20">
        <f t="shared" si="1"/>
        <v>2.8812329999999995</v>
      </c>
      <c r="X20" s="21">
        <f t="shared" si="2"/>
        <v>2.8812329999999995</v>
      </c>
    </row>
    <row r="21" spans="1:24" x14ac:dyDescent="0.25">
      <c r="A21" s="29">
        <v>4</v>
      </c>
      <c r="B21" s="23" t="s">
        <v>34</v>
      </c>
      <c r="C21" s="24">
        <v>0.32069999999999999</v>
      </c>
      <c r="D21" s="25">
        <v>0.53859999999999997</v>
      </c>
      <c r="E21" s="26">
        <v>0.2908</v>
      </c>
      <c r="F21" s="26">
        <v>0.49719999999999998</v>
      </c>
      <c r="G21" s="26">
        <f>0.1523+0.046+0.0381</f>
        <v>0.23639999999999997</v>
      </c>
      <c r="H21" s="26">
        <v>1.4E-3</v>
      </c>
      <c r="I21" s="26">
        <v>6.7999999999999996E-3</v>
      </c>
      <c r="J21" s="26">
        <v>0.84289999999999998</v>
      </c>
      <c r="K21" s="26">
        <v>6.8400000000000002E-2</v>
      </c>
      <c r="L21" s="26">
        <v>7.7999999999999996E-3</v>
      </c>
      <c r="M21" s="26">
        <v>3.5000000000000001E-3</v>
      </c>
      <c r="N21" s="26">
        <v>8.0000000000000002E-3</v>
      </c>
      <c r="O21" s="26">
        <v>6.5199999999999994E-2</v>
      </c>
      <c r="P21" s="25">
        <v>2.91</v>
      </c>
      <c r="Q21" s="25">
        <v>2.2799999999999998</v>
      </c>
      <c r="R21" s="25">
        <v>2.37</v>
      </c>
      <c r="S21" s="25">
        <v>1.74</v>
      </c>
      <c r="T21" s="27">
        <v>1.5630999999999999</v>
      </c>
      <c r="U21" s="28">
        <f t="shared" si="0"/>
        <v>4.5486209999999998</v>
      </c>
      <c r="V21" s="28">
        <f t="shared" si="3"/>
        <v>3.5638679999999994</v>
      </c>
      <c r="W21" s="20">
        <f t="shared" si="1"/>
        <v>3.7045469999999998</v>
      </c>
      <c r="X21" s="21">
        <f t="shared" si="2"/>
        <v>2.7197939999999998</v>
      </c>
    </row>
    <row r="22" spans="1:24" x14ac:dyDescent="0.25">
      <c r="A22" s="22">
        <v>5</v>
      </c>
      <c r="B22" s="23" t="s">
        <v>35</v>
      </c>
      <c r="C22" s="30">
        <v>0.36299999999999999</v>
      </c>
      <c r="D22" s="31">
        <v>0.61</v>
      </c>
      <c r="E22" s="26">
        <v>0.32440000000000002</v>
      </c>
      <c r="F22" s="26"/>
      <c r="G22" s="26">
        <f>0.2009+0.0448+0.0335</f>
        <v>0.2792</v>
      </c>
      <c r="H22" s="26">
        <v>2.5000000000000001E-3</v>
      </c>
      <c r="I22" s="26">
        <v>1.26E-2</v>
      </c>
      <c r="J22" s="26">
        <v>0.87890000000000001</v>
      </c>
      <c r="K22" s="26"/>
      <c r="L22" s="26">
        <v>3.3000000000000002E-2</v>
      </c>
      <c r="M22" s="26">
        <v>7.1999999999999998E-3</v>
      </c>
      <c r="N22" s="26">
        <v>4.9399999999999999E-2</v>
      </c>
      <c r="O22" s="26"/>
      <c r="P22" s="25">
        <v>2.56</v>
      </c>
      <c r="Q22" s="25">
        <v>2.56</v>
      </c>
      <c r="R22" s="25">
        <v>1.95</v>
      </c>
      <c r="S22" s="25">
        <v>1.95</v>
      </c>
      <c r="T22" s="27">
        <v>1.3091999999999999</v>
      </c>
      <c r="U22" s="28">
        <f t="shared" si="0"/>
        <v>3.3515519999999999</v>
      </c>
      <c r="V22" s="28">
        <f t="shared" si="3"/>
        <v>3.3515519999999999</v>
      </c>
      <c r="W22" s="20">
        <f t="shared" si="1"/>
        <v>2.55294</v>
      </c>
      <c r="X22" s="21">
        <f t="shared" si="2"/>
        <v>2.55294</v>
      </c>
    </row>
    <row r="23" spans="1:24" x14ac:dyDescent="0.25">
      <c r="A23" s="22">
        <v>6</v>
      </c>
      <c r="B23" s="23" t="s">
        <v>36</v>
      </c>
      <c r="C23" s="24">
        <v>0.40539999999999998</v>
      </c>
      <c r="D23" s="25">
        <v>0.87339999999999995</v>
      </c>
      <c r="E23" s="26">
        <v>0.6472</v>
      </c>
      <c r="F23" s="26"/>
      <c r="G23" s="26">
        <f>0.1225+0.047+0.0327</f>
        <v>0.20219999999999999</v>
      </c>
      <c r="H23" s="26">
        <v>3.7000000000000002E-3</v>
      </c>
      <c r="I23" s="26">
        <v>1.83E-2</v>
      </c>
      <c r="J23" s="26">
        <v>0.71619999999999995</v>
      </c>
      <c r="K23" s="26"/>
      <c r="L23" s="26">
        <v>2.9700000000000001E-2</v>
      </c>
      <c r="M23" s="26">
        <v>9.7999999999999997E-3</v>
      </c>
      <c r="N23" s="26">
        <v>6.3799999999999996E-2</v>
      </c>
      <c r="O23" s="26"/>
      <c r="P23" s="28">
        <v>2.97</v>
      </c>
      <c r="Q23" s="25">
        <v>2.97</v>
      </c>
      <c r="R23" s="28">
        <v>2.1</v>
      </c>
      <c r="S23" s="25">
        <v>2.1</v>
      </c>
      <c r="T23" s="27">
        <v>1.4188000000000001</v>
      </c>
      <c r="U23" s="28">
        <f t="shared" si="0"/>
        <v>4.2138360000000006</v>
      </c>
      <c r="V23" s="28">
        <f t="shared" si="3"/>
        <v>4.2138360000000006</v>
      </c>
      <c r="W23" s="20">
        <f t="shared" si="1"/>
        <v>2.9794800000000001</v>
      </c>
      <c r="X23" s="21">
        <f t="shared" si="2"/>
        <v>2.9794800000000001</v>
      </c>
    </row>
    <row r="24" spans="1:24" x14ac:dyDescent="0.25">
      <c r="A24" s="29">
        <v>7</v>
      </c>
      <c r="B24" s="23" t="s">
        <v>37</v>
      </c>
      <c r="C24" s="24">
        <v>0.31559999999999999</v>
      </c>
      <c r="D24" s="25">
        <v>0.72929999999999995</v>
      </c>
      <c r="E24" s="26">
        <v>0.33529999999999999</v>
      </c>
      <c r="F24" s="26">
        <v>0.41699999999999998</v>
      </c>
      <c r="G24" s="26">
        <f>0.1685+0.046+0.0389</f>
        <v>0.25340000000000001</v>
      </c>
      <c r="H24" s="26">
        <v>1.6000000000000001E-3</v>
      </c>
      <c r="I24" s="26">
        <v>8.0000000000000002E-3</v>
      </c>
      <c r="J24" s="26">
        <v>0.74990000000000001</v>
      </c>
      <c r="K24" s="26">
        <v>6.8400000000000002E-2</v>
      </c>
      <c r="L24" s="26">
        <v>1.3100000000000001E-2</v>
      </c>
      <c r="M24" s="26">
        <v>4.0000000000000001E-3</v>
      </c>
      <c r="N24" s="26">
        <v>7.3499999999999996E-2</v>
      </c>
      <c r="O24" s="26">
        <v>5.0799999999999998E-2</v>
      </c>
      <c r="P24" s="25">
        <v>3.02</v>
      </c>
      <c r="Q24" s="25">
        <v>2.48</v>
      </c>
      <c r="R24" s="25">
        <v>2.29</v>
      </c>
      <c r="S24" s="25">
        <v>1.75</v>
      </c>
      <c r="T24" s="32">
        <v>1.5501</v>
      </c>
      <c r="U24" s="28">
        <f t="shared" si="0"/>
        <v>4.6813020000000005</v>
      </c>
      <c r="V24" s="28">
        <f t="shared" si="3"/>
        <v>3.8442479999999999</v>
      </c>
      <c r="W24" s="20">
        <f t="shared" si="1"/>
        <v>3.5497290000000001</v>
      </c>
      <c r="X24" s="21">
        <f t="shared" si="2"/>
        <v>2.7126749999999999</v>
      </c>
    </row>
    <row r="25" spans="1:24" x14ac:dyDescent="0.25">
      <c r="A25" s="22">
        <v>8</v>
      </c>
      <c r="B25" s="23" t="s">
        <v>38</v>
      </c>
      <c r="C25" s="24">
        <v>0.27189999999999998</v>
      </c>
      <c r="D25" s="25">
        <v>0.5605</v>
      </c>
      <c r="E25" s="26">
        <v>0.32750000000000001</v>
      </c>
      <c r="F25" s="26">
        <v>0.45450000000000002</v>
      </c>
      <c r="G25" s="26">
        <f>0.1583+0.0445+0.0346</f>
        <v>0.23739999999999997</v>
      </c>
      <c r="H25" s="26">
        <v>1.6000000000000001E-3</v>
      </c>
      <c r="I25" s="26">
        <v>8.2000000000000007E-3</v>
      </c>
      <c r="J25" s="26">
        <v>0.90090000000000003</v>
      </c>
      <c r="K25" s="26">
        <v>6.8400000000000002E-2</v>
      </c>
      <c r="L25" s="26">
        <v>9.9000000000000008E-3</v>
      </c>
      <c r="M25" s="26">
        <v>2.3E-3</v>
      </c>
      <c r="N25" s="26">
        <v>3.7499999999999999E-2</v>
      </c>
      <c r="O25" s="26">
        <v>5.7200000000000001E-2</v>
      </c>
      <c r="P25" s="25">
        <v>2.94</v>
      </c>
      <c r="Q25" s="25">
        <v>2.36</v>
      </c>
      <c r="R25" s="25">
        <v>2.38</v>
      </c>
      <c r="S25" s="25">
        <v>1.8</v>
      </c>
      <c r="T25" s="27">
        <v>1.5418000000000001</v>
      </c>
      <c r="U25" s="28">
        <f t="shared" si="0"/>
        <v>4.5328920000000004</v>
      </c>
      <c r="V25" s="28">
        <f t="shared" si="3"/>
        <v>3.6386479999999999</v>
      </c>
      <c r="W25" s="20">
        <f t="shared" si="1"/>
        <v>3.6694840000000002</v>
      </c>
      <c r="X25" s="21">
        <f t="shared" si="2"/>
        <v>2.7752400000000002</v>
      </c>
    </row>
    <row r="26" spans="1:24" x14ac:dyDescent="0.25">
      <c r="A26" s="22">
        <v>9</v>
      </c>
      <c r="B26" s="23" t="s">
        <v>39</v>
      </c>
      <c r="C26" s="24">
        <v>0.25180000000000002</v>
      </c>
      <c r="D26" s="25">
        <v>0.61509999999999998</v>
      </c>
      <c r="E26" s="26">
        <v>0.2787</v>
      </c>
      <c r="F26" s="26">
        <v>0.48110000000000003</v>
      </c>
      <c r="G26" s="26">
        <f>0.1592+0.0436+0.0367</f>
        <v>0.23950000000000002</v>
      </c>
      <c r="H26" s="26">
        <v>1.6000000000000001E-3</v>
      </c>
      <c r="I26" s="26">
        <v>8.0999999999999996E-3</v>
      </c>
      <c r="J26" s="26">
        <v>0.73129999999999995</v>
      </c>
      <c r="K26" s="26">
        <v>6.8400000000000002E-2</v>
      </c>
      <c r="L26" s="26">
        <v>1.24E-2</v>
      </c>
      <c r="M26" s="26">
        <v>4.1000000000000003E-3</v>
      </c>
      <c r="N26" s="26">
        <v>2.8299999999999999E-2</v>
      </c>
      <c r="O26" s="26">
        <v>5.9799999999999999E-2</v>
      </c>
      <c r="P26" s="25">
        <v>2.78</v>
      </c>
      <c r="Q26" s="25">
        <v>2.17</v>
      </c>
      <c r="R26" s="25">
        <v>2.16</v>
      </c>
      <c r="S26" s="25">
        <v>1.56</v>
      </c>
      <c r="T26" s="27">
        <v>1.4431</v>
      </c>
      <c r="U26" s="28">
        <f t="shared" si="0"/>
        <v>4.0118179999999999</v>
      </c>
      <c r="V26" s="28">
        <f t="shared" si="3"/>
        <v>3.1315270000000002</v>
      </c>
      <c r="W26" s="20">
        <f t="shared" si="1"/>
        <v>3.1170960000000005</v>
      </c>
      <c r="X26" s="21">
        <f t="shared" si="2"/>
        <v>2.251236</v>
      </c>
    </row>
    <row r="27" spans="1:24" x14ac:dyDescent="0.25">
      <c r="A27" s="29">
        <v>10</v>
      </c>
      <c r="B27" s="23" t="s">
        <v>40</v>
      </c>
      <c r="C27" s="24">
        <v>0.2419</v>
      </c>
      <c r="D27" s="25">
        <v>0.58709999999999996</v>
      </c>
      <c r="E27" s="26">
        <v>0.34439999999999998</v>
      </c>
      <c r="F27" s="26">
        <v>0.45</v>
      </c>
      <c r="G27" s="26">
        <f>0.1688+0.045+0.0375</f>
        <v>0.25129999999999997</v>
      </c>
      <c r="H27" s="26">
        <v>1.6999999999999999E-3</v>
      </c>
      <c r="I27" s="26">
        <v>8.3000000000000001E-3</v>
      </c>
      <c r="J27" s="26">
        <v>0.70979999999999999</v>
      </c>
      <c r="K27" s="26">
        <v>6.8400000000000002E-2</v>
      </c>
      <c r="L27" s="26">
        <v>1.14E-2</v>
      </c>
      <c r="M27" s="26">
        <v>4.1999999999999997E-3</v>
      </c>
      <c r="N27" s="26">
        <v>4.3999999999999997E-2</v>
      </c>
      <c r="O27" s="26">
        <v>5.7500000000000002E-2</v>
      </c>
      <c r="P27" s="25">
        <v>2.78</v>
      </c>
      <c r="Q27" s="28">
        <v>2.2000000000000002</v>
      </c>
      <c r="R27" s="28">
        <v>2.19</v>
      </c>
      <c r="S27" s="28">
        <v>1.62</v>
      </c>
      <c r="T27" s="27">
        <v>1.5921000000000001</v>
      </c>
      <c r="U27" s="28">
        <f t="shared" si="0"/>
        <v>4.4260380000000001</v>
      </c>
      <c r="V27" s="28">
        <f t="shared" si="3"/>
        <v>3.5026200000000003</v>
      </c>
      <c r="W27" s="20">
        <f t="shared" si="1"/>
        <v>3.4866990000000002</v>
      </c>
      <c r="X27" s="21">
        <f t="shared" si="2"/>
        <v>2.5792020000000004</v>
      </c>
    </row>
    <row r="28" spans="1:24" x14ac:dyDescent="0.25">
      <c r="A28" s="22">
        <v>11</v>
      </c>
      <c r="B28" s="23" t="s">
        <v>41</v>
      </c>
      <c r="C28" s="24">
        <v>0.33829999999999999</v>
      </c>
      <c r="D28" s="25">
        <v>0.42430000000000001</v>
      </c>
      <c r="E28" s="26">
        <v>0.34239999999999998</v>
      </c>
      <c r="F28" s="26"/>
      <c r="G28" s="26">
        <f>0.2092+0.0453+0.0372</f>
        <v>0.29170000000000001</v>
      </c>
      <c r="H28" s="26">
        <v>2.5999999999999999E-3</v>
      </c>
      <c r="I28" s="26">
        <v>1.3100000000000001E-2</v>
      </c>
      <c r="J28" s="26">
        <v>0.86370000000000002</v>
      </c>
      <c r="K28" s="26"/>
      <c r="L28" s="26">
        <v>1.3899999999999999E-2</v>
      </c>
      <c r="M28" s="26">
        <v>6.6E-3</v>
      </c>
      <c r="N28" s="26">
        <v>4.1599999999999998E-2</v>
      </c>
      <c r="O28" s="26"/>
      <c r="P28" s="28">
        <v>2.34</v>
      </c>
      <c r="Q28" s="25">
        <v>2.34</v>
      </c>
      <c r="R28" s="25">
        <v>1.91</v>
      </c>
      <c r="S28" s="25">
        <v>1.91</v>
      </c>
      <c r="T28" s="33">
        <v>1.3</v>
      </c>
      <c r="U28" s="28">
        <f t="shared" si="0"/>
        <v>3.0419999999999998</v>
      </c>
      <c r="V28" s="28">
        <f t="shared" si="3"/>
        <v>3.0419999999999998</v>
      </c>
      <c r="W28" s="20">
        <v>2.4900000000000002</v>
      </c>
      <c r="X28" s="21">
        <v>2.4900000000000002</v>
      </c>
    </row>
    <row r="29" spans="1:24" x14ac:dyDescent="0.25">
      <c r="A29" s="22">
        <v>12</v>
      </c>
      <c r="B29" s="23" t="s">
        <v>42</v>
      </c>
      <c r="C29" s="24">
        <v>0.2777</v>
      </c>
      <c r="D29" s="25">
        <v>0.45190000000000002</v>
      </c>
      <c r="E29" s="26">
        <v>0.3488</v>
      </c>
      <c r="F29" s="26"/>
      <c r="G29" s="26">
        <f>0.2104+0.0456+0.0374</f>
        <v>0.29339999999999999</v>
      </c>
      <c r="H29" s="26">
        <v>2.5999999999999999E-3</v>
      </c>
      <c r="I29" s="26">
        <v>1.32E-2</v>
      </c>
      <c r="J29" s="26">
        <v>0.90110000000000001</v>
      </c>
      <c r="K29" s="26"/>
      <c r="L29" s="26">
        <v>1.4E-2</v>
      </c>
      <c r="M29" s="26">
        <v>6.7000000000000002E-3</v>
      </c>
      <c r="N29" s="26">
        <v>4.2599999999999999E-2</v>
      </c>
      <c r="O29" s="26"/>
      <c r="P29" s="28">
        <v>2.35</v>
      </c>
      <c r="Q29" s="25">
        <v>2.35</v>
      </c>
      <c r="R29" s="25">
        <v>1.9</v>
      </c>
      <c r="S29" s="25">
        <v>1.9</v>
      </c>
      <c r="T29" s="27">
        <v>1.2916000000000001</v>
      </c>
      <c r="U29" s="28">
        <f t="shared" si="0"/>
        <v>3.0352600000000005</v>
      </c>
      <c r="V29" s="28">
        <f t="shared" si="3"/>
        <v>3.0352600000000005</v>
      </c>
      <c r="W29" s="20">
        <f t="shared" si="1"/>
        <v>2.45404</v>
      </c>
      <c r="X29" s="21">
        <f t="shared" si="2"/>
        <v>2.45404</v>
      </c>
    </row>
    <row r="30" spans="1:24" x14ac:dyDescent="0.25">
      <c r="A30" s="29">
        <v>13</v>
      </c>
      <c r="B30" s="23" t="s">
        <v>43</v>
      </c>
      <c r="C30" s="24">
        <v>0.25950000000000001</v>
      </c>
      <c r="D30" s="25">
        <v>1.0128999999999999</v>
      </c>
      <c r="E30" s="26">
        <v>0.34610000000000002</v>
      </c>
      <c r="F30" s="26">
        <v>0.50639999999999996</v>
      </c>
      <c r="G30" s="26">
        <f>0.1542+0.045+0.0373</f>
        <v>0.23649999999999999</v>
      </c>
      <c r="H30" s="26">
        <v>1.2999999999999999E-3</v>
      </c>
      <c r="I30" s="26">
        <v>6.4999999999999997E-3</v>
      </c>
      <c r="J30" s="26">
        <v>0.82010000000000005</v>
      </c>
      <c r="K30" s="26">
        <v>6.8400000000000002E-2</v>
      </c>
      <c r="L30" s="26">
        <v>1.54E-2</v>
      </c>
      <c r="M30" s="26">
        <v>3.3E-3</v>
      </c>
      <c r="N30" s="26">
        <v>0.1183</v>
      </c>
      <c r="O30" s="26">
        <v>9.4799999999999995E-2</v>
      </c>
      <c r="P30" s="28">
        <v>3.49</v>
      </c>
      <c r="Q30" s="28">
        <f>'[1]Ж-4'!$F$511</f>
        <v>2.8197839531859268</v>
      </c>
      <c r="R30" s="28">
        <v>2.48</v>
      </c>
      <c r="S30" s="28">
        <v>1.91</v>
      </c>
      <c r="T30" s="27">
        <v>1.4556</v>
      </c>
      <c r="U30" s="28">
        <f t="shared" si="0"/>
        <v>5.080044</v>
      </c>
      <c r="V30" s="28">
        <f t="shared" si="3"/>
        <v>4.1044775222574348</v>
      </c>
      <c r="W30" s="20">
        <f t="shared" si="1"/>
        <v>3.6098880000000002</v>
      </c>
      <c r="X30" s="21">
        <v>2.63</v>
      </c>
    </row>
    <row r="31" spans="1:24" x14ac:dyDescent="0.25">
      <c r="A31" s="22">
        <v>14</v>
      </c>
      <c r="B31" s="23" t="s">
        <v>44</v>
      </c>
      <c r="C31" s="24">
        <v>0.15479999999999999</v>
      </c>
      <c r="D31" s="25">
        <v>0.72330000000000005</v>
      </c>
      <c r="E31" s="26">
        <v>0.41539999999999999</v>
      </c>
      <c r="F31" s="26">
        <v>0.3659</v>
      </c>
      <c r="G31" s="26">
        <f>0.0553+0.0395+0.0316</f>
        <v>0.12640000000000001</v>
      </c>
      <c r="H31" s="26">
        <v>1.5E-3</v>
      </c>
      <c r="I31" s="26">
        <v>7.6E-3</v>
      </c>
      <c r="J31" s="26">
        <v>0.89559999999999995</v>
      </c>
      <c r="K31" s="26">
        <v>6.8400000000000002E-2</v>
      </c>
      <c r="L31" s="26">
        <v>2.3400000000000001E-2</v>
      </c>
      <c r="M31" s="26">
        <v>4.1999999999999997E-3</v>
      </c>
      <c r="N31" s="26">
        <v>0.1298</v>
      </c>
      <c r="O31" s="26">
        <v>0.14799999999999999</v>
      </c>
      <c r="P31" s="25">
        <v>3.06</v>
      </c>
      <c r="Q31" s="25">
        <v>2.48</v>
      </c>
      <c r="R31" s="25">
        <v>2.34</v>
      </c>
      <c r="S31" s="25">
        <v>1.76</v>
      </c>
      <c r="T31" s="32">
        <v>1.7278</v>
      </c>
      <c r="U31" s="28">
        <f>P31*T31</f>
        <v>5.2870679999999997</v>
      </c>
      <c r="V31" s="28">
        <v>4.28</v>
      </c>
      <c r="W31" s="20">
        <f t="shared" si="1"/>
        <v>4.0430519999999994</v>
      </c>
      <c r="X31" s="21">
        <f t="shared" si="2"/>
        <v>3.0409280000000001</v>
      </c>
    </row>
    <row r="32" spans="1:24" x14ac:dyDescent="0.25">
      <c r="A32" s="22">
        <v>15</v>
      </c>
      <c r="B32" s="23" t="s">
        <v>45</v>
      </c>
      <c r="C32" s="24">
        <v>0.1681</v>
      </c>
      <c r="D32" s="25"/>
      <c r="E32" s="26">
        <v>0.46329999999999999</v>
      </c>
      <c r="F32" s="26"/>
      <c r="G32" s="26">
        <f>0.3204+0.0449+0.0337</f>
        <v>0.39900000000000002</v>
      </c>
      <c r="H32" s="26"/>
      <c r="I32" s="26"/>
      <c r="J32" s="26">
        <v>0.2145</v>
      </c>
      <c r="K32" s="26"/>
      <c r="L32" s="26"/>
      <c r="M32" s="26"/>
      <c r="N32" s="26"/>
      <c r="O32" s="26"/>
      <c r="P32" s="25"/>
      <c r="Q32" s="25"/>
      <c r="R32" s="25">
        <v>1.24</v>
      </c>
      <c r="S32" s="25">
        <v>1.24</v>
      </c>
      <c r="T32" s="32">
        <v>1.0251999999999999</v>
      </c>
      <c r="U32" s="28"/>
      <c r="V32" s="28"/>
      <c r="W32" s="20">
        <v>1.28</v>
      </c>
      <c r="X32" s="21">
        <v>1.28</v>
      </c>
    </row>
    <row r="33" spans="1:24" x14ac:dyDescent="0.25">
      <c r="A33" s="29">
        <v>16</v>
      </c>
      <c r="B33" s="23" t="s">
        <v>46</v>
      </c>
      <c r="C33" s="24">
        <v>0.35049999999999998</v>
      </c>
      <c r="D33" s="25">
        <v>0.53520000000000001</v>
      </c>
      <c r="E33" s="26">
        <v>0.31780000000000003</v>
      </c>
      <c r="F33" s="26">
        <v>0.36049999999999999</v>
      </c>
      <c r="G33" s="26">
        <f>0.1517+0.0433+0.0325</f>
        <v>0.22750000000000001</v>
      </c>
      <c r="H33" s="26">
        <v>1.6000000000000001E-3</v>
      </c>
      <c r="I33" s="26">
        <v>7.7999999999999996E-3</v>
      </c>
      <c r="J33" s="26">
        <v>0.68389999999999995</v>
      </c>
      <c r="K33" s="26">
        <v>6.8400000000000002E-2</v>
      </c>
      <c r="L33" s="26">
        <v>9.7000000000000003E-3</v>
      </c>
      <c r="M33" s="26">
        <v>3.8999999999999998E-3</v>
      </c>
      <c r="N33" s="26">
        <v>6.3E-2</v>
      </c>
      <c r="O33" s="26">
        <v>4.87E-2</v>
      </c>
      <c r="P33" s="25">
        <v>2.68</v>
      </c>
      <c r="Q33" s="28">
        <v>2.2000000000000002</v>
      </c>
      <c r="R33" s="28">
        <v>2.14</v>
      </c>
      <c r="S33" s="28">
        <v>1.67</v>
      </c>
      <c r="T33" s="32">
        <v>1.4087000000000001</v>
      </c>
      <c r="U33" s="28">
        <v>3.77</v>
      </c>
      <c r="V33" s="28">
        <f t="shared" si="3"/>
        <v>3.0991400000000002</v>
      </c>
      <c r="W33" s="20">
        <f t="shared" si="1"/>
        <v>3.0146180000000005</v>
      </c>
      <c r="X33" s="21">
        <f t="shared" si="2"/>
        <v>2.3525290000000001</v>
      </c>
    </row>
    <row r="34" spans="1:24" x14ac:dyDescent="0.25">
      <c r="A34" s="22">
        <v>17</v>
      </c>
      <c r="B34" s="23" t="s">
        <v>47</v>
      </c>
      <c r="C34" s="24">
        <v>0.25419999999999998</v>
      </c>
      <c r="D34" s="25">
        <v>0.56520000000000004</v>
      </c>
      <c r="E34" s="26">
        <v>0.33710000000000001</v>
      </c>
      <c r="F34" s="26">
        <v>0.42459999999999998</v>
      </c>
      <c r="G34" s="26">
        <f>0.1422+0.0427+0.0355</f>
        <v>0.22040000000000001</v>
      </c>
      <c r="H34" s="26">
        <v>1.9E-3</v>
      </c>
      <c r="I34" s="26">
        <v>1.9E-3</v>
      </c>
      <c r="J34" s="26">
        <v>0.8054</v>
      </c>
      <c r="K34" s="26">
        <v>6.8400000000000002E-2</v>
      </c>
      <c r="L34" s="26">
        <v>1.0999999999999999E-2</v>
      </c>
      <c r="M34" s="26">
        <v>5.0000000000000001E-3</v>
      </c>
      <c r="N34" s="26">
        <v>0.10639999999999999</v>
      </c>
      <c r="O34" s="26">
        <v>5.57E-2</v>
      </c>
      <c r="P34" s="25">
        <v>2.86</v>
      </c>
      <c r="Q34" s="25">
        <v>2.31</v>
      </c>
      <c r="R34" s="28">
        <v>2.2999999999999998</v>
      </c>
      <c r="S34" s="25">
        <v>1.75</v>
      </c>
      <c r="T34" s="32">
        <v>1.3742000000000001</v>
      </c>
      <c r="U34" s="28">
        <f t="shared" ref="U34:U96" si="4">P34*T34</f>
        <v>3.930212</v>
      </c>
      <c r="V34" s="28">
        <f t="shared" si="3"/>
        <v>3.1744020000000002</v>
      </c>
      <c r="W34" s="20">
        <f t="shared" si="1"/>
        <v>3.16066</v>
      </c>
      <c r="X34" s="21">
        <f t="shared" si="2"/>
        <v>2.4048500000000002</v>
      </c>
    </row>
    <row r="35" spans="1:24" x14ac:dyDescent="0.25">
      <c r="A35" s="22">
        <v>18</v>
      </c>
      <c r="B35" s="23" t="s">
        <v>48</v>
      </c>
      <c r="C35" s="24">
        <v>0.2757</v>
      </c>
      <c r="D35" s="25">
        <v>0.48859999999999998</v>
      </c>
      <c r="E35" s="26">
        <v>0.33950000000000002</v>
      </c>
      <c r="F35" s="26">
        <v>0.46039999999999998</v>
      </c>
      <c r="G35" s="26">
        <f>0.1774+0.0409+0.0409</f>
        <v>0.25919999999999999</v>
      </c>
      <c r="H35" s="26">
        <v>1.6000000000000001E-3</v>
      </c>
      <c r="I35" s="26">
        <v>7.7999999999999996E-3</v>
      </c>
      <c r="J35" s="26">
        <v>0.67930000000000001</v>
      </c>
      <c r="K35" s="26">
        <v>6.8400000000000002E-2</v>
      </c>
      <c r="L35" s="26">
        <v>1.2200000000000001E-2</v>
      </c>
      <c r="M35" s="26">
        <v>3.8999999999999998E-3</v>
      </c>
      <c r="N35" s="26">
        <v>1.46E-2</v>
      </c>
      <c r="O35" s="26">
        <v>6.93E-2</v>
      </c>
      <c r="P35" s="25">
        <v>2.68</v>
      </c>
      <c r="Q35" s="25">
        <v>2.08</v>
      </c>
      <c r="R35" s="25">
        <v>2.19</v>
      </c>
      <c r="S35" s="25">
        <v>1.59</v>
      </c>
      <c r="T35" s="32">
        <v>1.3415999999999999</v>
      </c>
      <c r="U35" s="28">
        <f t="shared" si="4"/>
        <v>3.595488</v>
      </c>
      <c r="V35" s="28">
        <f t="shared" si="3"/>
        <v>2.7905279999999997</v>
      </c>
      <c r="W35" s="20">
        <f t="shared" si="1"/>
        <v>2.9381039999999996</v>
      </c>
      <c r="X35" s="21">
        <f t="shared" si="2"/>
        <v>2.1331440000000002</v>
      </c>
    </row>
    <row r="36" spans="1:24" x14ac:dyDescent="0.25">
      <c r="A36" s="29">
        <v>19</v>
      </c>
      <c r="B36" s="23" t="s">
        <v>49</v>
      </c>
      <c r="C36" s="24">
        <v>0.22550000000000001</v>
      </c>
      <c r="D36" s="25">
        <v>0.56710000000000005</v>
      </c>
      <c r="E36" s="26">
        <v>0.30940000000000001</v>
      </c>
      <c r="F36" s="26">
        <v>0.46489999999999998</v>
      </c>
      <c r="G36" s="26">
        <f>0.1417+0.0399+0.0354</f>
        <v>0.21699999999999997</v>
      </c>
      <c r="H36" s="26">
        <v>2.3999999999999998E-3</v>
      </c>
      <c r="I36" s="26">
        <v>1.1900000000000001E-2</v>
      </c>
      <c r="J36" s="26">
        <v>0.92689999999999995</v>
      </c>
      <c r="K36" s="26">
        <v>6.8400000000000002E-2</v>
      </c>
      <c r="L36" s="26">
        <v>9.9000000000000008E-3</v>
      </c>
      <c r="M36" s="26">
        <v>6.7000000000000002E-3</v>
      </c>
      <c r="N36" s="26">
        <v>3.32E-2</v>
      </c>
      <c r="O36" s="26">
        <v>0.1046</v>
      </c>
      <c r="P36" s="25">
        <v>2.95</v>
      </c>
      <c r="Q36" s="25">
        <v>2.31</v>
      </c>
      <c r="R36" s="25">
        <v>2.38</v>
      </c>
      <c r="S36" s="25">
        <v>1.81</v>
      </c>
      <c r="T36" s="32">
        <v>1.3507</v>
      </c>
      <c r="U36" s="28">
        <f t="shared" si="4"/>
        <v>3.9845650000000004</v>
      </c>
      <c r="V36" s="28">
        <f t="shared" si="3"/>
        <v>3.120117</v>
      </c>
      <c r="W36" s="20">
        <f t="shared" si="1"/>
        <v>3.2146659999999998</v>
      </c>
      <c r="X36" s="21">
        <v>2.35</v>
      </c>
    </row>
    <row r="37" spans="1:24" x14ac:dyDescent="0.25">
      <c r="A37" s="22">
        <v>20</v>
      </c>
      <c r="B37" s="23" t="s">
        <v>50</v>
      </c>
      <c r="C37" s="24">
        <v>0.2979</v>
      </c>
      <c r="D37" s="25">
        <v>0.40770000000000001</v>
      </c>
      <c r="E37" s="26">
        <v>0.33539999999999998</v>
      </c>
      <c r="F37" s="26"/>
      <c r="G37" s="26">
        <f>0.2286+0.049+0.0327</f>
        <v>0.31030000000000002</v>
      </c>
      <c r="H37" s="26">
        <v>2.7000000000000001E-3</v>
      </c>
      <c r="I37" s="26">
        <v>1.3299999999999999E-2</v>
      </c>
      <c r="J37" s="26">
        <v>0.85470000000000002</v>
      </c>
      <c r="K37" s="26"/>
      <c r="L37" s="26">
        <v>1.67E-2</v>
      </c>
      <c r="M37" s="26">
        <v>6.8999999999999999E-3</v>
      </c>
      <c r="N37" s="26">
        <v>3.9800000000000002E-2</v>
      </c>
      <c r="O37" s="26"/>
      <c r="P37" s="25">
        <v>2.29</v>
      </c>
      <c r="Q37" s="25">
        <v>2.29</v>
      </c>
      <c r="R37" s="25">
        <v>1.88</v>
      </c>
      <c r="S37" s="25">
        <v>1.88</v>
      </c>
      <c r="T37" s="32">
        <v>1.3504</v>
      </c>
      <c r="U37" s="28">
        <f t="shared" si="4"/>
        <v>3.0924160000000001</v>
      </c>
      <c r="V37" s="28">
        <f t="shared" si="3"/>
        <v>3.0924160000000001</v>
      </c>
      <c r="W37" s="28">
        <f t="shared" si="1"/>
        <v>2.5387520000000001</v>
      </c>
      <c r="X37" s="34">
        <f t="shared" si="2"/>
        <v>2.5387520000000001</v>
      </c>
    </row>
    <row r="38" spans="1:24" x14ac:dyDescent="0.25">
      <c r="A38" s="22">
        <v>21</v>
      </c>
      <c r="B38" s="23" t="s">
        <v>51</v>
      </c>
      <c r="C38" s="24">
        <v>0.38590000000000002</v>
      </c>
      <c r="D38" s="25">
        <v>0.49630000000000002</v>
      </c>
      <c r="E38" s="26">
        <v>0.30790000000000001</v>
      </c>
      <c r="F38" s="26"/>
      <c r="G38" s="26">
        <f>0.2014+0.0462+0.0347</f>
        <v>0.2823</v>
      </c>
      <c r="H38" s="26">
        <v>2.5999999999999999E-3</v>
      </c>
      <c r="I38" s="26">
        <v>3.0999999999999999E-3</v>
      </c>
      <c r="J38" s="26">
        <v>0.87339999999999995</v>
      </c>
      <c r="K38" s="26"/>
      <c r="L38" s="26">
        <v>1.38E-2</v>
      </c>
      <c r="M38" s="26">
        <v>6.6E-3</v>
      </c>
      <c r="N38" s="26">
        <v>5.3199999999999997E-2</v>
      </c>
      <c r="O38" s="26"/>
      <c r="P38" s="25">
        <v>2.2400000000000002</v>
      </c>
      <c r="Q38" s="25">
        <v>2.2400000000000002</v>
      </c>
      <c r="R38" s="25">
        <v>1.94</v>
      </c>
      <c r="S38" s="25">
        <v>1.94</v>
      </c>
      <c r="T38" s="35">
        <v>1.3093999999999999</v>
      </c>
      <c r="U38" s="28">
        <v>3.19</v>
      </c>
      <c r="V38" s="28">
        <v>3.19</v>
      </c>
      <c r="W38" s="28">
        <f t="shared" si="1"/>
        <v>2.5402359999999997</v>
      </c>
      <c r="X38" s="34">
        <f t="shared" si="2"/>
        <v>2.5402359999999997</v>
      </c>
    </row>
    <row r="39" spans="1:24" x14ac:dyDescent="0.25">
      <c r="A39" s="29">
        <v>22</v>
      </c>
      <c r="B39" s="23" t="s">
        <v>52</v>
      </c>
      <c r="C39" s="24">
        <v>0.2626</v>
      </c>
      <c r="D39" s="25">
        <v>0.55830000000000002</v>
      </c>
      <c r="E39" s="26">
        <v>0.31929999999999997</v>
      </c>
      <c r="F39" s="26"/>
      <c r="G39" s="26">
        <f>0.1611+0.0314+0.0314</f>
        <v>0.22389999999999999</v>
      </c>
      <c r="H39" s="26"/>
      <c r="I39" s="26">
        <v>2.0000000000000001E-4</v>
      </c>
      <c r="J39" s="26">
        <v>0.99209999999999998</v>
      </c>
      <c r="K39" s="26"/>
      <c r="L39" s="26">
        <v>2.0500000000000001E-2</v>
      </c>
      <c r="M39" s="26">
        <v>1E-4</v>
      </c>
      <c r="N39" s="26">
        <v>8.0600000000000005E-2</v>
      </c>
      <c r="O39" s="26"/>
      <c r="P39" s="25">
        <v>2.46</v>
      </c>
      <c r="Q39" s="25">
        <v>2.46</v>
      </c>
      <c r="R39" s="25">
        <v>1.9</v>
      </c>
      <c r="S39" s="25">
        <v>1.9</v>
      </c>
      <c r="T39" s="36">
        <v>1.2987</v>
      </c>
      <c r="U39" s="28">
        <f t="shared" si="4"/>
        <v>3.1948019999999997</v>
      </c>
      <c r="V39" s="28">
        <f t="shared" si="3"/>
        <v>3.1948019999999997</v>
      </c>
      <c r="W39" s="28">
        <f t="shared" si="1"/>
        <v>2.46753</v>
      </c>
      <c r="X39" s="34">
        <f t="shared" si="2"/>
        <v>2.46753</v>
      </c>
    </row>
    <row r="40" spans="1:24" x14ac:dyDescent="0.25">
      <c r="A40" s="22">
        <v>23</v>
      </c>
      <c r="B40" s="23" t="s">
        <v>53</v>
      </c>
      <c r="C40" s="24">
        <v>0.2636</v>
      </c>
      <c r="D40" s="25">
        <v>0.68459999999999999</v>
      </c>
      <c r="E40" s="26">
        <v>0.36770000000000003</v>
      </c>
      <c r="F40" s="26">
        <v>0.57589999999999997</v>
      </c>
      <c r="G40" s="26">
        <f>0.1898+0.0438+0.0365</f>
        <v>0.27010000000000001</v>
      </c>
      <c r="H40" s="26">
        <v>1.8E-3</v>
      </c>
      <c r="I40" s="26">
        <v>9.1000000000000004E-3</v>
      </c>
      <c r="J40" s="26">
        <v>0.75249999999999995</v>
      </c>
      <c r="K40" s="26">
        <v>6.8400000000000002E-2</v>
      </c>
      <c r="L40" s="26">
        <v>1.4500000000000001E-2</v>
      </c>
      <c r="M40" s="26">
        <v>4.5999999999999999E-3</v>
      </c>
      <c r="N40" s="26">
        <v>3.0599999999999999E-2</v>
      </c>
      <c r="O40" s="26">
        <v>7.3300000000000004E-2</v>
      </c>
      <c r="P40" s="25">
        <v>3.12</v>
      </c>
      <c r="Q40" s="37">
        <v>2.4</v>
      </c>
      <c r="R40" s="37">
        <v>2.4300000000000002</v>
      </c>
      <c r="S40" s="37">
        <v>1.71</v>
      </c>
      <c r="T40" s="36">
        <v>1.3443000000000001</v>
      </c>
      <c r="U40" s="28">
        <f t="shared" si="4"/>
        <v>4.1942159999999999</v>
      </c>
      <c r="V40" s="28">
        <f t="shared" si="3"/>
        <v>3.2263199999999999</v>
      </c>
      <c r="W40" s="28">
        <f t="shared" si="1"/>
        <v>3.2666490000000001</v>
      </c>
      <c r="X40" s="34">
        <f t="shared" si="2"/>
        <v>2.298753</v>
      </c>
    </row>
    <row r="41" spans="1:24" x14ac:dyDescent="0.25">
      <c r="A41" s="22">
        <v>24</v>
      </c>
      <c r="B41" s="23" t="s">
        <v>54</v>
      </c>
      <c r="C41" s="24">
        <v>0.20949999999999999</v>
      </c>
      <c r="D41" s="25">
        <v>0.59340000000000004</v>
      </c>
      <c r="E41" s="26">
        <v>0.33050000000000002</v>
      </c>
      <c r="F41" s="26">
        <v>0.47449999999999998</v>
      </c>
      <c r="G41" s="26">
        <f>0.157+0.0355+0.0349</f>
        <v>0.22739999999999999</v>
      </c>
      <c r="H41" s="26">
        <v>2E-3</v>
      </c>
      <c r="I41" s="26">
        <v>0.01</v>
      </c>
      <c r="J41" s="26">
        <v>0.94850000000000001</v>
      </c>
      <c r="K41" s="26">
        <v>6.8400000000000002E-2</v>
      </c>
      <c r="L41" s="26">
        <v>1.0800000000000001E-2</v>
      </c>
      <c r="M41" s="26">
        <v>5.1000000000000004E-3</v>
      </c>
      <c r="N41" s="26">
        <v>1.7299999999999999E-2</v>
      </c>
      <c r="O41" s="26">
        <v>6.59E-2</v>
      </c>
      <c r="P41" s="25">
        <v>2.96</v>
      </c>
      <c r="Q41" s="25">
        <v>2.35</v>
      </c>
      <c r="R41" s="25">
        <v>2.37</v>
      </c>
      <c r="S41" s="25">
        <v>1.76</v>
      </c>
      <c r="T41" s="36">
        <v>1.2911999999999999</v>
      </c>
      <c r="U41" s="28">
        <v>3.83</v>
      </c>
      <c r="V41" s="28">
        <v>3.04</v>
      </c>
      <c r="W41" s="28">
        <f t="shared" si="1"/>
        <v>3.0601439999999998</v>
      </c>
      <c r="X41" s="34">
        <f t="shared" si="2"/>
        <v>2.2725119999999999</v>
      </c>
    </row>
    <row r="42" spans="1:24" x14ac:dyDescent="0.25">
      <c r="A42" s="29">
        <v>25</v>
      </c>
      <c r="B42" s="23" t="s">
        <v>55</v>
      </c>
      <c r="C42" s="24">
        <v>0.25569999999999998</v>
      </c>
      <c r="D42" s="25">
        <v>0.69679999999999997</v>
      </c>
      <c r="E42" s="26">
        <v>0.2954</v>
      </c>
      <c r="F42" s="26">
        <v>0.34649999999999997</v>
      </c>
      <c r="G42" s="26">
        <f>0.1369+0.0432+0.036</f>
        <v>0.21609999999999999</v>
      </c>
      <c r="H42" s="26">
        <v>1.6000000000000001E-3</v>
      </c>
      <c r="I42" s="26">
        <v>7.9000000000000008E-3</v>
      </c>
      <c r="J42" s="26">
        <v>0.89959999999999996</v>
      </c>
      <c r="K42" s="26">
        <v>6.8400000000000002E-2</v>
      </c>
      <c r="L42" s="26">
        <v>7.4999999999999997E-3</v>
      </c>
      <c r="M42" s="26">
        <v>4.0000000000000001E-3</v>
      </c>
      <c r="N42" s="26">
        <v>1.8200000000000001E-2</v>
      </c>
      <c r="O42" s="26">
        <v>5.2699999999999997E-2</v>
      </c>
      <c r="P42" s="25">
        <v>2.87</v>
      </c>
      <c r="Q42" s="28">
        <v>2.4</v>
      </c>
      <c r="R42" s="28">
        <v>2.17</v>
      </c>
      <c r="S42" s="28">
        <v>1.71</v>
      </c>
      <c r="T42" s="36">
        <v>1.3027</v>
      </c>
      <c r="U42" s="28">
        <f t="shared" si="4"/>
        <v>3.7387489999999999</v>
      </c>
      <c r="V42" s="28">
        <f t="shared" si="3"/>
        <v>3.1264799999999999</v>
      </c>
      <c r="W42" s="28">
        <f t="shared" si="1"/>
        <v>2.8268589999999998</v>
      </c>
      <c r="X42" s="34">
        <f t="shared" si="2"/>
        <v>2.227617</v>
      </c>
    </row>
    <row r="43" spans="1:24" x14ac:dyDescent="0.25">
      <c r="A43" s="22">
        <v>26</v>
      </c>
      <c r="B43" s="23" t="s">
        <v>56</v>
      </c>
      <c r="C43" s="24">
        <v>0.33029999999999998</v>
      </c>
      <c r="D43" s="25">
        <v>0.32779999999999998</v>
      </c>
      <c r="E43" s="26">
        <v>0.25690000000000002</v>
      </c>
      <c r="F43" s="38"/>
      <c r="G43" s="26">
        <f>0.1801+0.045</f>
        <v>0.22510000000000002</v>
      </c>
      <c r="H43" s="26">
        <v>2.0000000000000001E-4</v>
      </c>
      <c r="I43" s="26"/>
      <c r="J43" s="26">
        <v>0.64690000000000003</v>
      </c>
      <c r="K43" s="26"/>
      <c r="L43" s="26">
        <v>4.5600000000000002E-2</v>
      </c>
      <c r="M43" s="26"/>
      <c r="N43" s="26">
        <v>2.6499999999999999E-2</v>
      </c>
      <c r="O43" s="26"/>
      <c r="P43" s="28">
        <v>1.86</v>
      </c>
      <c r="Q43" s="25">
        <v>1.86</v>
      </c>
      <c r="R43" s="25">
        <v>1.53</v>
      </c>
      <c r="S43" s="25">
        <v>1.53</v>
      </c>
      <c r="T43" s="36">
        <v>1.3667</v>
      </c>
      <c r="U43" s="28">
        <f t="shared" si="4"/>
        <v>2.542062</v>
      </c>
      <c r="V43" s="28">
        <f t="shared" si="3"/>
        <v>2.542062</v>
      </c>
      <c r="W43" s="28">
        <f t="shared" si="1"/>
        <v>2.0910510000000002</v>
      </c>
      <c r="X43" s="34">
        <f t="shared" si="2"/>
        <v>2.0910510000000002</v>
      </c>
    </row>
    <row r="44" spans="1:24" x14ac:dyDescent="0.25">
      <c r="A44" s="22">
        <v>27</v>
      </c>
      <c r="B44" s="23" t="s">
        <v>57</v>
      </c>
      <c r="C44" s="24">
        <v>0.18390000000000001</v>
      </c>
      <c r="D44" s="25"/>
      <c r="E44" s="26">
        <v>0.36109999999999998</v>
      </c>
      <c r="F44" s="26"/>
      <c r="G44" s="26">
        <f>0.1652+0.0472</f>
        <v>0.21240000000000001</v>
      </c>
      <c r="H44" s="26">
        <v>2.9999999999999997E-4</v>
      </c>
      <c r="I44" s="26"/>
      <c r="J44" s="26">
        <v>0.61160000000000003</v>
      </c>
      <c r="K44" s="26"/>
      <c r="L44" s="26">
        <v>4.7E-2</v>
      </c>
      <c r="M44" s="26"/>
      <c r="N44" s="26">
        <v>4.2500000000000003E-2</v>
      </c>
      <c r="O44" s="26"/>
      <c r="P44" s="28"/>
      <c r="Q44" s="25"/>
      <c r="R44" s="25">
        <v>1.46</v>
      </c>
      <c r="S44" s="25">
        <v>1.46</v>
      </c>
      <c r="T44" s="36">
        <v>1.5543</v>
      </c>
      <c r="U44" s="28"/>
      <c r="V44" s="28"/>
      <c r="W44" s="28">
        <f t="shared" si="1"/>
        <v>2.2692779999999999</v>
      </c>
      <c r="X44" s="34">
        <f t="shared" si="2"/>
        <v>2.2692779999999999</v>
      </c>
    </row>
    <row r="45" spans="1:24" x14ac:dyDescent="0.25">
      <c r="A45" s="29">
        <v>28</v>
      </c>
      <c r="B45" s="23" t="s">
        <v>58</v>
      </c>
      <c r="C45" s="24">
        <v>0.29289999999999999</v>
      </c>
      <c r="D45" s="25"/>
      <c r="E45" s="26">
        <v>0.379</v>
      </c>
      <c r="F45" s="26"/>
      <c r="G45" s="26">
        <f>0.1973+0.0395</f>
        <v>0.23680000000000001</v>
      </c>
      <c r="H45" s="26">
        <v>1E-4</v>
      </c>
      <c r="I45" s="26"/>
      <c r="J45" s="26">
        <v>0.4788</v>
      </c>
      <c r="K45" s="26"/>
      <c r="L45" s="26">
        <v>5.33E-2</v>
      </c>
      <c r="M45" s="26"/>
      <c r="N45" s="26">
        <v>5.5500000000000001E-2</v>
      </c>
      <c r="O45" s="26"/>
      <c r="P45" s="28"/>
      <c r="Q45" s="25"/>
      <c r="R45" s="28">
        <v>1.5</v>
      </c>
      <c r="S45" s="28">
        <v>1.5</v>
      </c>
      <c r="T45" s="36">
        <v>1.4679</v>
      </c>
      <c r="U45" s="28"/>
      <c r="V45" s="28"/>
      <c r="W45" s="28">
        <f t="shared" si="1"/>
        <v>2.2018499999999999</v>
      </c>
      <c r="X45" s="34">
        <f t="shared" si="2"/>
        <v>2.2018499999999999</v>
      </c>
    </row>
    <row r="46" spans="1:24" x14ac:dyDescent="0.25">
      <c r="A46" s="22">
        <v>29</v>
      </c>
      <c r="B46" s="23" t="s">
        <v>59</v>
      </c>
      <c r="C46" s="24">
        <v>0.1206</v>
      </c>
      <c r="D46" s="25"/>
      <c r="E46" s="26">
        <v>0.38240000000000002</v>
      </c>
      <c r="F46" s="26"/>
      <c r="G46" s="26">
        <f>0.1999+0.0428</f>
        <v>0.2427</v>
      </c>
      <c r="H46" s="26">
        <v>2.9999999999999997E-4</v>
      </c>
      <c r="I46" s="26"/>
      <c r="J46" s="26">
        <v>0.6099</v>
      </c>
      <c r="K46" s="26"/>
      <c r="L46" s="26">
        <v>4.2700000000000002E-2</v>
      </c>
      <c r="M46" s="26"/>
      <c r="N46" s="26">
        <v>5.1400000000000001E-2</v>
      </c>
      <c r="O46" s="26"/>
      <c r="P46" s="28"/>
      <c r="Q46" s="25"/>
      <c r="R46" s="25">
        <v>1.45</v>
      </c>
      <c r="S46" s="25">
        <v>1.45</v>
      </c>
      <c r="T46" s="36">
        <v>1.5567</v>
      </c>
      <c r="U46" s="28"/>
      <c r="V46" s="28"/>
      <c r="W46" s="28">
        <f t="shared" si="1"/>
        <v>2.257215</v>
      </c>
      <c r="X46" s="34">
        <f t="shared" si="2"/>
        <v>2.257215</v>
      </c>
    </row>
    <row r="47" spans="1:24" x14ac:dyDescent="0.25">
      <c r="A47" s="22">
        <v>30</v>
      </c>
      <c r="B47" s="23" t="s">
        <v>60</v>
      </c>
      <c r="C47" s="24">
        <v>0.18940000000000001</v>
      </c>
      <c r="D47" s="25"/>
      <c r="E47" s="26">
        <v>0.28889999999999999</v>
      </c>
      <c r="F47" s="26"/>
      <c r="G47" s="26">
        <f>0.2167+0.0493</f>
        <v>0.26600000000000001</v>
      </c>
      <c r="H47" s="26">
        <v>1E-4</v>
      </c>
      <c r="I47" s="26"/>
      <c r="J47" s="26">
        <v>0.66139999999999999</v>
      </c>
      <c r="K47" s="26"/>
      <c r="L47" s="26">
        <v>4.4200000000000003E-2</v>
      </c>
      <c r="M47" s="26"/>
      <c r="N47" s="26">
        <v>1.77E-2</v>
      </c>
      <c r="O47" s="26"/>
      <c r="P47" s="28"/>
      <c r="Q47" s="25"/>
      <c r="R47" s="25">
        <v>1.47</v>
      </c>
      <c r="S47" s="25">
        <v>1.47</v>
      </c>
      <c r="T47" s="36">
        <v>1.4169</v>
      </c>
      <c r="U47" s="28"/>
      <c r="V47" s="28"/>
      <c r="W47" s="28">
        <f t="shared" si="1"/>
        <v>2.082843</v>
      </c>
      <c r="X47" s="34">
        <f t="shared" si="2"/>
        <v>2.082843</v>
      </c>
    </row>
    <row r="48" spans="1:24" x14ac:dyDescent="0.25">
      <c r="A48" s="29">
        <v>31</v>
      </c>
      <c r="B48" s="23" t="s">
        <v>61</v>
      </c>
      <c r="C48" s="24">
        <v>0.4345</v>
      </c>
      <c r="D48" s="25">
        <v>0.47939999999999999</v>
      </c>
      <c r="E48" s="26">
        <v>0.34570000000000001</v>
      </c>
      <c r="F48" s="26"/>
      <c r="G48" s="26">
        <f>0.1515+0.0303</f>
        <v>0.18179999999999999</v>
      </c>
      <c r="H48" s="26">
        <v>1E-4</v>
      </c>
      <c r="I48" s="26"/>
      <c r="J48" s="26">
        <v>0.67210000000000003</v>
      </c>
      <c r="K48" s="26"/>
      <c r="L48" s="26">
        <v>2.2200000000000001E-2</v>
      </c>
      <c r="M48" s="26"/>
      <c r="N48" s="26">
        <v>7.0000000000000007E-2</v>
      </c>
      <c r="O48" s="26"/>
      <c r="P48" s="28">
        <v>2.21</v>
      </c>
      <c r="Q48" s="25">
        <v>2.21</v>
      </c>
      <c r="R48" s="25">
        <v>1.73</v>
      </c>
      <c r="S48" s="25">
        <v>1.73</v>
      </c>
      <c r="T48" s="36">
        <v>1.3173999999999999</v>
      </c>
      <c r="U48" s="28">
        <f t="shared" si="4"/>
        <v>2.9114539999999995</v>
      </c>
      <c r="V48" s="28">
        <f t="shared" si="3"/>
        <v>2.9114539999999995</v>
      </c>
      <c r="W48" s="28">
        <f t="shared" si="1"/>
        <v>2.279102</v>
      </c>
      <c r="X48" s="34">
        <f t="shared" si="2"/>
        <v>2.279102</v>
      </c>
    </row>
    <row r="49" spans="1:24" x14ac:dyDescent="0.25">
      <c r="A49" s="22">
        <v>32</v>
      </c>
      <c r="B49" s="23" t="s">
        <v>62</v>
      </c>
      <c r="C49" s="24">
        <v>0.51849999999999996</v>
      </c>
      <c r="D49" s="31">
        <v>0.38100000000000001</v>
      </c>
      <c r="E49" s="26">
        <v>0.31019999999999998</v>
      </c>
      <c r="F49" s="26"/>
      <c r="G49" s="26">
        <f>0.2144+0.0357</f>
        <v>0.25009999999999999</v>
      </c>
      <c r="H49" s="26">
        <v>1E-4</v>
      </c>
      <c r="I49" s="26"/>
      <c r="J49" s="26">
        <v>0.58260000000000001</v>
      </c>
      <c r="K49" s="26"/>
      <c r="L49" s="26">
        <v>3.4099999999999998E-2</v>
      </c>
      <c r="M49" s="26"/>
      <c r="N49" s="26">
        <v>6.5299999999999997E-2</v>
      </c>
      <c r="O49" s="26"/>
      <c r="P49" s="28">
        <v>2.14</v>
      </c>
      <c r="Q49" s="25">
        <v>2.14</v>
      </c>
      <c r="R49" s="25">
        <v>1.76</v>
      </c>
      <c r="S49" s="25">
        <v>1.76</v>
      </c>
      <c r="T49" s="36">
        <v>1.3603000000000001</v>
      </c>
      <c r="U49" s="28">
        <f t="shared" si="4"/>
        <v>2.9110420000000001</v>
      </c>
      <c r="V49" s="28">
        <f t="shared" si="3"/>
        <v>2.9110420000000001</v>
      </c>
      <c r="W49" s="28">
        <v>2.4</v>
      </c>
      <c r="X49" s="34">
        <v>2.4</v>
      </c>
    </row>
    <row r="50" spans="1:24" x14ac:dyDescent="0.25">
      <c r="A50" s="22">
        <v>33</v>
      </c>
      <c r="B50" s="23" t="s">
        <v>63</v>
      </c>
      <c r="C50" s="30">
        <v>0.36199999999999999</v>
      </c>
      <c r="D50" s="25"/>
      <c r="E50" s="26">
        <v>0.15720000000000001</v>
      </c>
      <c r="F50" s="26"/>
      <c r="G50" s="26">
        <f>0.1512+0.0363</f>
        <v>0.1875</v>
      </c>
      <c r="H50" s="26">
        <v>1E-4</v>
      </c>
      <c r="I50" s="26"/>
      <c r="J50" s="26">
        <v>0.60850000000000004</v>
      </c>
      <c r="K50" s="26"/>
      <c r="L50" s="26">
        <v>3.8399999999999997E-2</v>
      </c>
      <c r="M50" s="26"/>
      <c r="N50" s="26">
        <v>7.1900000000000006E-2</v>
      </c>
      <c r="O50" s="26"/>
      <c r="P50" s="28"/>
      <c r="Q50" s="25"/>
      <c r="R50" s="25">
        <v>1.43</v>
      </c>
      <c r="S50" s="25">
        <v>1.43</v>
      </c>
      <c r="T50" s="36">
        <v>1.4662999999999999</v>
      </c>
      <c r="U50" s="28"/>
      <c r="V50" s="28"/>
      <c r="W50" s="28">
        <f t="shared" si="1"/>
        <v>2.0968089999999999</v>
      </c>
      <c r="X50" s="34">
        <f t="shared" si="2"/>
        <v>2.0968089999999999</v>
      </c>
    </row>
    <row r="51" spans="1:24" x14ac:dyDescent="0.25">
      <c r="A51" s="29">
        <v>34</v>
      </c>
      <c r="B51" s="23" t="s">
        <v>64</v>
      </c>
      <c r="C51" s="24">
        <v>0.20169999999999999</v>
      </c>
      <c r="D51" s="25"/>
      <c r="E51" s="26">
        <v>0.22389999999999999</v>
      </c>
      <c r="F51" s="26"/>
      <c r="G51" s="26">
        <f>0.2053+0.0411</f>
        <v>0.24640000000000001</v>
      </c>
      <c r="H51" s="26">
        <v>2.0000000000000001E-4</v>
      </c>
      <c r="I51" s="26"/>
      <c r="J51" s="26">
        <v>0.73450000000000004</v>
      </c>
      <c r="K51" s="26"/>
      <c r="L51" s="26">
        <v>4.3700000000000003E-2</v>
      </c>
      <c r="M51" s="26"/>
      <c r="N51" s="26">
        <v>6.2899999999999998E-2</v>
      </c>
      <c r="O51" s="26"/>
      <c r="P51" s="28"/>
      <c r="Q51" s="25"/>
      <c r="R51" s="25">
        <v>1.51</v>
      </c>
      <c r="S51" s="25">
        <v>1.51</v>
      </c>
      <c r="T51" s="36">
        <v>1.4925999999999999</v>
      </c>
      <c r="U51" s="28"/>
      <c r="V51" s="28"/>
      <c r="W51" s="28">
        <v>2.2599999999999998</v>
      </c>
      <c r="X51" s="34">
        <v>2.2599999999999998</v>
      </c>
    </row>
    <row r="52" spans="1:24" x14ac:dyDescent="0.25">
      <c r="A52" s="22">
        <v>35</v>
      </c>
      <c r="B52" s="23" t="s">
        <v>65</v>
      </c>
      <c r="C52" s="24">
        <v>0.38740000000000002</v>
      </c>
      <c r="D52" s="25"/>
      <c r="E52" s="26">
        <v>0.24690000000000001</v>
      </c>
      <c r="F52" s="26"/>
      <c r="G52" s="26">
        <f>0.2056+0.0514</f>
        <v>0.25700000000000001</v>
      </c>
      <c r="H52" s="26">
        <v>1E-4</v>
      </c>
      <c r="I52" s="26"/>
      <c r="J52" s="26">
        <v>0.75219999999999998</v>
      </c>
      <c r="K52" s="26"/>
      <c r="L52" s="26">
        <v>4.5400000000000003E-2</v>
      </c>
      <c r="M52" s="26"/>
      <c r="N52" s="26">
        <v>6.3399999999999998E-2</v>
      </c>
      <c r="O52" s="26"/>
      <c r="P52" s="28"/>
      <c r="Q52" s="25"/>
      <c r="R52" s="25">
        <v>1.75</v>
      </c>
      <c r="S52" s="25">
        <v>1.75</v>
      </c>
      <c r="T52" s="36">
        <v>1.3657999999999999</v>
      </c>
      <c r="U52" s="28"/>
      <c r="V52" s="28"/>
      <c r="W52" s="28">
        <f t="shared" si="1"/>
        <v>2.3901499999999998</v>
      </c>
      <c r="X52" s="34">
        <f t="shared" si="2"/>
        <v>2.3901499999999998</v>
      </c>
    </row>
    <row r="53" spans="1:24" x14ac:dyDescent="0.25">
      <c r="A53" s="22">
        <v>36</v>
      </c>
      <c r="B53" s="23" t="s">
        <v>66</v>
      </c>
      <c r="C53" s="24">
        <v>0.2742</v>
      </c>
      <c r="D53" s="25">
        <v>0.37709999999999999</v>
      </c>
      <c r="E53" s="26">
        <v>0.31680000000000003</v>
      </c>
      <c r="F53" s="26"/>
      <c r="G53" s="26">
        <f>0.2107+0.0351</f>
        <v>0.24579999999999999</v>
      </c>
      <c r="H53" s="26">
        <v>1E-4</v>
      </c>
      <c r="I53" s="26"/>
      <c r="J53" s="26">
        <v>0.82479999999999998</v>
      </c>
      <c r="K53" s="26"/>
      <c r="L53" s="26">
        <v>3.2800000000000003E-2</v>
      </c>
      <c r="M53" s="26">
        <v>2.0000000000000001E-4</v>
      </c>
      <c r="N53" s="26">
        <v>9.0200000000000002E-2</v>
      </c>
      <c r="O53" s="26"/>
      <c r="P53" s="25">
        <v>2.16</v>
      </c>
      <c r="Q53" s="25">
        <v>2.16</v>
      </c>
      <c r="R53" s="25">
        <v>1.78</v>
      </c>
      <c r="S53" s="25">
        <v>1.78</v>
      </c>
      <c r="T53" s="36">
        <v>1.4398</v>
      </c>
      <c r="U53" s="28">
        <f t="shared" si="4"/>
        <v>3.1099680000000003</v>
      </c>
      <c r="V53" s="28">
        <f t="shared" si="3"/>
        <v>3.1099680000000003</v>
      </c>
      <c r="W53" s="28">
        <f t="shared" si="1"/>
        <v>2.5628440000000001</v>
      </c>
      <c r="X53" s="34">
        <f t="shared" si="2"/>
        <v>2.5628440000000001</v>
      </c>
    </row>
    <row r="54" spans="1:24" x14ac:dyDescent="0.25">
      <c r="A54" s="29">
        <v>37</v>
      </c>
      <c r="B54" s="23" t="s">
        <v>67</v>
      </c>
      <c r="C54" s="30">
        <v>0.42899999999999999</v>
      </c>
      <c r="D54" s="25">
        <v>0.45350000000000001</v>
      </c>
      <c r="E54" s="26">
        <v>0.32019999999999998</v>
      </c>
      <c r="F54" s="26"/>
      <c r="G54" s="26">
        <f>0.2136+0.0338</f>
        <v>0.24740000000000001</v>
      </c>
      <c r="H54" s="26"/>
      <c r="I54" s="26"/>
      <c r="J54" s="26">
        <v>0.71930000000000005</v>
      </c>
      <c r="K54" s="26"/>
      <c r="L54" s="26">
        <v>3.5099999999999999E-2</v>
      </c>
      <c r="M54" s="26">
        <v>1E-4</v>
      </c>
      <c r="N54" s="26">
        <v>3.2000000000000001E-2</v>
      </c>
      <c r="O54" s="26"/>
      <c r="P54" s="25">
        <v>2.2400000000000002</v>
      </c>
      <c r="Q54" s="25">
        <v>2.2400000000000002</v>
      </c>
      <c r="R54" s="25">
        <v>1.78</v>
      </c>
      <c r="S54" s="25">
        <v>1.78</v>
      </c>
      <c r="T54" s="36">
        <v>1.4641999999999999</v>
      </c>
      <c r="U54" s="28">
        <f t="shared" si="4"/>
        <v>3.2798080000000001</v>
      </c>
      <c r="V54" s="28">
        <f t="shared" si="3"/>
        <v>3.2798080000000001</v>
      </c>
      <c r="W54" s="28">
        <f t="shared" si="1"/>
        <v>2.6062759999999998</v>
      </c>
      <c r="X54" s="34">
        <f t="shared" si="2"/>
        <v>2.6062759999999998</v>
      </c>
    </row>
    <row r="55" spans="1:24" x14ac:dyDescent="0.25">
      <c r="A55" s="22">
        <v>38</v>
      </c>
      <c r="B55" s="23" t="s">
        <v>68</v>
      </c>
      <c r="C55" s="24">
        <v>0.29730000000000001</v>
      </c>
      <c r="D55" s="25">
        <v>0.4773</v>
      </c>
      <c r="E55" s="26">
        <v>0.3201</v>
      </c>
      <c r="F55" s="26"/>
      <c r="G55" s="26">
        <f>0.2199+0.0359+0.0296</f>
        <v>0.28540000000000004</v>
      </c>
      <c r="H55" s="26">
        <v>2.8E-3</v>
      </c>
      <c r="I55" s="26">
        <v>1.3899999999999999E-2</v>
      </c>
      <c r="J55" s="26">
        <v>0.93810000000000004</v>
      </c>
      <c r="K55" s="26"/>
      <c r="L55" s="26">
        <v>1.7600000000000001E-2</v>
      </c>
      <c r="M55" s="26">
        <v>8.8000000000000005E-3</v>
      </c>
      <c r="N55" s="26">
        <v>1.0500000000000001E-2</v>
      </c>
      <c r="O55" s="26"/>
      <c r="P55" s="25">
        <v>2.37</v>
      </c>
      <c r="Q55" s="25">
        <v>2.37</v>
      </c>
      <c r="R55" s="25">
        <v>1.89</v>
      </c>
      <c r="S55" s="25">
        <v>1.89</v>
      </c>
      <c r="T55" s="36">
        <v>1.3709</v>
      </c>
      <c r="U55" s="28">
        <f t="shared" si="4"/>
        <v>3.2490330000000003</v>
      </c>
      <c r="V55" s="28">
        <f t="shared" si="3"/>
        <v>3.2490330000000003</v>
      </c>
      <c r="W55" s="28">
        <f t="shared" si="1"/>
        <v>2.5910009999999999</v>
      </c>
      <c r="X55" s="34">
        <f t="shared" si="2"/>
        <v>2.5910009999999999</v>
      </c>
    </row>
    <row r="56" spans="1:24" x14ac:dyDescent="0.25">
      <c r="A56" s="22">
        <v>39</v>
      </c>
      <c r="B56" s="23" t="s">
        <v>69</v>
      </c>
      <c r="C56" s="30">
        <v>0.185</v>
      </c>
      <c r="D56" s="25">
        <v>0.51680000000000004</v>
      </c>
      <c r="E56" s="26">
        <v>0.47010000000000002</v>
      </c>
      <c r="F56" s="26">
        <v>0.43530000000000002</v>
      </c>
      <c r="G56" s="26">
        <f>0.2463+0.0425+0.034</f>
        <v>0.32279999999999998</v>
      </c>
      <c r="H56" s="26">
        <v>1.5E-3</v>
      </c>
      <c r="I56" s="26">
        <v>7.6E-3</v>
      </c>
      <c r="J56" s="26">
        <v>0.60760000000000003</v>
      </c>
      <c r="K56" s="26">
        <v>7.6899999999999996E-2</v>
      </c>
      <c r="L56" s="26">
        <v>1.6899999999999998E-2</v>
      </c>
      <c r="M56" s="26">
        <v>3.8999999999999998E-3</v>
      </c>
      <c r="N56" s="26">
        <v>7.2800000000000004E-2</v>
      </c>
      <c r="O56" s="26">
        <v>5.3600000000000002E-2</v>
      </c>
      <c r="P56" s="25">
        <v>2.77</v>
      </c>
      <c r="Q56" s="25">
        <v>2.21</v>
      </c>
      <c r="R56" s="25">
        <v>2.25</v>
      </c>
      <c r="S56" s="25">
        <v>1.69</v>
      </c>
      <c r="T56" s="36">
        <v>1.4037999999999999</v>
      </c>
      <c r="U56" s="28">
        <f t="shared" si="4"/>
        <v>3.8885259999999997</v>
      </c>
      <c r="V56" s="28">
        <f t="shared" si="3"/>
        <v>3.102398</v>
      </c>
      <c r="W56" s="28">
        <f t="shared" si="1"/>
        <v>3.15855</v>
      </c>
      <c r="X56" s="34">
        <f t="shared" si="2"/>
        <v>2.3724219999999998</v>
      </c>
    </row>
    <row r="57" spans="1:24" x14ac:dyDescent="0.25">
      <c r="A57" s="29">
        <v>40</v>
      </c>
      <c r="B57" s="23" t="s">
        <v>70</v>
      </c>
      <c r="C57" s="24">
        <v>0.1628</v>
      </c>
      <c r="D57" s="25">
        <v>1.2753000000000001</v>
      </c>
      <c r="E57" s="26">
        <v>0.47489999999999999</v>
      </c>
      <c r="F57" s="26">
        <v>0.3473</v>
      </c>
      <c r="G57" s="26">
        <f>0.35+0.0447+0.0372</f>
        <v>0.43190000000000001</v>
      </c>
      <c r="H57" s="26">
        <v>1E-3</v>
      </c>
      <c r="I57" s="26">
        <v>5.1000000000000004E-3</v>
      </c>
      <c r="J57" s="26">
        <v>0.64910000000000001</v>
      </c>
      <c r="K57" s="26">
        <v>7.6899999999999996E-2</v>
      </c>
      <c r="L57" s="26">
        <v>2.3E-2</v>
      </c>
      <c r="M57" s="26">
        <v>2.5999999999999999E-3</v>
      </c>
      <c r="N57" s="26">
        <v>4.65E-2</v>
      </c>
      <c r="O57" s="26">
        <v>5.9200000000000003E-2</v>
      </c>
      <c r="P57" s="25">
        <v>3.56</v>
      </c>
      <c r="Q57" s="25">
        <v>3.07</v>
      </c>
      <c r="R57" s="25">
        <v>2.2799999999999998</v>
      </c>
      <c r="S57" s="25">
        <v>1.8</v>
      </c>
      <c r="T57" s="36">
        <v>1.3989</v>
      </c>
      <c r="U57" s="28">
        <v>4.97</v>
      </c>
      <c r="V57" s="28">
        <v>4.3</v>
      </c>
      <c r="W57" s="28">
        <f t="shared" si="1"/>
        <v>3.189492</v>
      </c>
      <c r="X57" s="34">
        <v>2.5099999999999998</v>
      </c>
    </row>
    <row r="58" spans="1:24" x14ac:dyDescent="0.25">
      <c r="A58" s="22">
        <v>41</v>
      </c>
      <c r="B58" s="23" t="s">
        <v>71</v>
      </c>
      <c r="C58" s="30">
        <v>0.38200000000000001</v>
      </c>
      <c r="D58" s="25">
        <v>0.80269999999999997</v>
      </c>
      <c r="E58" s="26">
        <v>0.45929999999999999</v>
      </c>
      <c r="F58" s="26"/>
      <c r="G58" s="26">
        <f>0.3047+0.0422+0.0317</f>
        <v>0.37860000000000005</v>
      </c>
      <c r="H58" s="26">
        <v>1.5E-3</v>
      </c>
      <c r="I58" s="26">
        <v>7.3000000000000001E-3</v>
      </c>
      <c r="J58" s="26">
        <v>0.63200000000000001</v>
      </c>
      <c r="K58" s="26"/>
      <c r="L58" s="26">
        <v>2.2599999999999999E-2</v>
      </c>
      <c r="M58" s="26">
        <v>4.0000000000000001E-3</v>
      </c>
      <c r="N58" s="26">
        <v>0.12139999999999999</v>
      </c>
      <c r="O58" s="26"/>
      <c r="P58" s="25">
        <v>2.81</v>
      </c>
      <c r="Q58" s="25">
        <v>2.81</v>
      </c>
      <c r="R58" s="25">
        <v>2.0099999999999998</v>
      </c>
      <c r="S58" s="25">
        <v>2.0099999999999998</v>
      </c>
      <c r="T58" s="36">
        <v>1.4448000000000001</v>
      </c>
      <c r="U58" s="28">
        <f t="shared" si="4"/>
        <v>4.0598879999999999</v>
      </c>
      <c r="V58" s="28">
        <f t="shared" si="3"/>
        <v>4.0598879999999999</v>
      </c>
      <c r="W58" s="28">
        <f t="shared" si="1"/>
        <v>2.904048</v>
      </c>
      <c r="X58" s="34">
        <f t="shared" si="2"/>
        <v>2.904048</v>
      </c>
    </row>
    <row r="59" spans="1:24" x14ac:dyDescent="0.25">
      <c r="A59" s="22">
        <v>42</v>
      </c>
      <c r="B59" s="23" t="s">
        <v>72</v>
      </c>
      <c r="C59" s="24">
        <v>0.1615</v>
      </c>
      <c r="D59" s="25">
        <v>1.4427000000000001</v>
      </c>
      <c r="E59" s="26">
        <v>0.45960000000000001</v>
      </c>
      <c r="F59" s="26">
        <v>0.4007</v>
      </c>
      <c r="G59" s="26">
        <f>0.3635+0.0445+0.0371</f>
        <v>0.4451</v>
      </c>
      <c r="H59" s="26">
        <v>8.9999999999999998E-4</v>
      </c>
      <c r="I59" s="26">
        <v>4.4000000000000003E-3</v>
      </c>
      <c r="J59" s="26">
        <v>0.66739999999999999</v>
      </c>
      <c r="K59" s="26">
        <v>7.6899999999999996E-2</v>
      </c>
      <c r="L59" s="26">
        <v>2.3199999999999998E-2</v>
      </c>
      <c r="M59" s="26">
        <v>2.3E-3</v>
      </c>
      <c r="N59" s="26">
        <v>4.8500000000000001E-2</v>
      </c>
      <c r="O59" s="26">
        <v>0.14149999999999999</v>
      </c>
      <c r="P59" s="25">
        <v>3.87</v>
      </c>
      <c r="Q59" s="25">
        <v>3.26</v>
      </c>
      <c r="R59" s="25">
        <v>2.4300000000000002</v>
      </c>
      <c r="S59" s="25">
        <v>1.81</v>
      </c>
      <c r="T59" s="36">
        <v>1.3764000000000001</v>
      </c>
      <c r="U59" s="28">
        <f t="shared" si="4"/>
        <v>5.3266680000000006</v>
      </c>
      <c r="V59" s="28">
        <f t="shared" si="3"/>
        <v>4.4870640000000002</v>
      </c>
      <c r="W59" s="28">
        <v>3.35</v>
      </c>
      <c r="X59" s="34">
        <v>2.5</v>
      </c>
    </row>
    <row r="60" spans="1:24" x14ac:dyDescent="0.25">
      <c r="A60" s="29">
        <v>43</v>
      </c>
      <c r="B60" s="23" t="s">
        <v>73</v>
      </c>
      <c r="C60" s="24">
        <v>0.21210000000000001</v>
      </c>
      <c r="D60" s="31">
        <v>0.70599999999999996</v>
      </c>
      <c r="E60" s="26">
        <v>0.33789999999999998</v>
      </c>
      <c r="F60" s="26">
        <v>0.69769999999999999</v>
      </c>
      <c r="G60" s="26">
        <f>0.1853+0.0488+0.039</f>
        <v>0.27310000000000001</v>
      </c>
      <c r="H60" s="26">
        <v>1E-3</v>
      </c>
      <c r="I60" s="26">
        <v>4.7999999999999996E-3</v>
      </c>
      <c r="J60" s="26">
        <v>0.8306</v>
      </c>
      <c r="K60" s="26">
        <v>7.6899999999999996E-2</v>
      </c>
      <c r="L60" s="26">
        <v>1.29E-2</v>
      </c>
      <c r="M60" s="26">
        <v>2.5000000000000001E-3</v>
      </c>
      <c r="N60" s="26">
        <v>1.2999999999999999E-2</v>
      </c>
      <c r="O60" s="26">
        <v>6.8500000000000005E-2</v>
      </c>
      <c r="P60" s="25">
        <v>3.24</v>
      </c>
      <c r="Q60" s="25">
        <v>2.39</v>
      </c>
      <c r="R60" s="25">
        <v>2.5299999999999998</v>
      </c>
      <c r="S60" s="25">
        <v>1.69</v>
      </c>
      <c r="T60" s="36">
        <v>1.2704</v>
      </c>
      <c r="U60" s="28">
        <f t="shared" si="4"/>
        <v>4.1160959999999998</v>
      </c>
      <c r="V60" s="28">
        <f t="shared" si="3"/>
        <v>3.0362560000000003</v>
      </c>
      <c r="W60" s="28">
        <v>3.22</v>
      </c>
      <c r="X60" s="34">
        <v>2.14</v>
      </c>
    </row>
    <row r="61" spans="1:24" x14ac:dyDescent="0.25">
      <c r="A61" s="22">
        <v>44</v>
      </c>
      <c r="B61" s="23" t="s">
        <v>74</v>
      </c>
      <c r="C61" s="24">
        <v>0.30649999999999999</v>
      </c>
      <c r="D61" s="25">
        <v>0.90549999999999997</v>
      </c>
      <c r="E61" s="26">
        <v>0.4839</v>
      </c>
      <c r="F61" s="26"/>
      <c r="G61" s="26">
        <f>0.3415+0.0479+0.036</f>
        <v>0.4254</v>
      </c>
      <c r="H61" s="26">
        <v>2.8E-3</v>
      </c>
      <c r="I61" s="26">
        <v>1.4200000000000001E-2</v>
      </c>
      <c r="J61" s="26">
        <v>0.7702</v>
      </c>
      <c r="K61" s="26"/>
      <c r="L61" s="26">
        <v>2.2800000000000001E-2</v>
      </c>
      <c r="M61" s="26">
        <v>7.1999999999999998E-3</v>
      </c>
      <c r="N61" s="26">
        <v>7.1800000000000003E-2</v>
      </c>
      <c r="O61" s="26"/>
      <c r="P61" s="25">
        <v>3.01</v>
      </c>
      <c r="Q61" s="25">
        <v>3.01</v>
      </c>
      <c r="R61" s="25">
        <v>2.1</v>
      </c>
      <c r="S61" s="25">
        <v>2.1</v>
      </c>
      <c r="T61" s="36">
        <v>1.4593</v>
      </c>
      <c r="U61" s="28">
        <f t="shared" si="4"/>
        <v>4.392493</v>
      </c>
      <c r="V61" s="28">
        <f t="shared" si="3"/>
        <v>4.392493</v>
      </c>
      <c r="W61" s="28">
        <v>3.07</v>
      </c>
      <c r="X61" s="34">
        <v>3.07</v>
      </c>
    </row>
    <row r="62" spans="1:24" x14ac:dyDescent="0.25">
      <c r="A62" s="22">
        <v>45</v>
      </c>
      <c r="B62" s="23" t="s">
        <v>75</v>
      </c>
      <c r="C62" s="24">
        <v>0.32919999999999999</v>
      </c>
      <c r="D62" s="25">
        <v>0.52880000000000005</v>
      </c>
      <c r="E62" s="26">
        <v>0.29360000000000003</v>
      </c>
      <c r="F62" s="26">
        <v>0.46360000000000001</v>
      </c>
      <c r="G62" s="26">
        <f>0.16+0.0492+0.0369</f>
        <v>0.24609999999999999</v>
      </c>
      <c r="H62" s="26">
        <v>1.4E-3</v>
      </c>
      <c r="I62" s="26">
        <v>7.0000000000000001E-3</v>
      </c>
      <c r="J62" s="26">
        <v>0.89470000000000005</v>
      </c>
      <c r="K62" s="26">
        <v>7.6899999999999996E-2</v>
      </c>
      <c r="L62" s="26">
        <v>1.0999999999999999E-2</v>
      </c>
      <c r="M62" s="26">
        <v>3.5000000000000001E-3</v>
      </c>
      <c r="N62" s="26">
        <v>3.1099999999999999E-2</v>
      </c>
      <c r="O62" s="26">
        <v>8.2500000000000004E-2</v>
      </c>
      <c r="P62" s="25">
        <v>2.97</v>
      </c>
      <c r="Q62" s="25">
        <v>2.35</v>
      </c>
      <c r="R62" s="25">
        <v>2.44</v>
      </c>
      <c r="S62" s="25">
        <v>1.82</v>
      </c>
      <c r="T62" s="36">
        <v>1.2747999999999999</v>
      </c>
      <c r="U62" s="28">
        <f t="shared" si="4"/>
        <v>3.7861560000000001</v>
      </c>
      <c r="V62" s="28">
        <f t="shared" si="3"/>
        <v>2.9957799999999999</v>
      </c>
      <c r="W62" s="28">
        <f t="shared" si="1"/>
        <v>3.1105119999999999</v>
      </c>
      <c r="X62" s="34">
        <f t="shared" si="2"/>
        <v>2.3201359999999998</v>
      </c>
    </row>
    <row r="63" spans="1:24" x14ac:dyDescent="0.25">
      <c r="A63" s="29">
        <v>46</v>
      </c>
      <c r="B63" s="23" t="s">
        <v>76</v>
      </c>
      <c r="C63" s="24">
        <v>0.4083</v>
      </c>
      <c r="D63" s="25">
        <v>0.52869999999999995</v>
      </c>
      <c r="E63" s="26">
        <v>0.3513</v>
      </c>
      <c r="F63" s="26"/>
      <c r="G63" s="26">
        <f>0.2103+0.0469+0.0352</f>
        <v>0.29239999999999999</v>
      </c>
      <c r="H63" s="26">
        <v>2.7000000000000001E-3</v>
      </c>
      <c r="I63" s="26">
        <v>1.35E-2</v>
      </c>
      <c r="J63" s="26">
        <v>0.79790000000000005</v>
      </c>
      <c r="K63" s="26"/>
      <c r="L63" s="26">
        <v>1.4E-2</v>
      </c>
      <c r="M63" s="26">
        <v>6.7999999999999996E-3</v>
      </c>
      <c r="N63" s="26">
        <v>4.5600000000000002E-2</v>
      </c>
      <c r="O63" s="26"/>
      <c r="P63" s="25">
        <v>2.46</v>
      </c>
      <c r="Q63" s="25">
        <v>2.46</v>
      </c>
      <c r="R63" s="25">
        <v>1.93</v>
      </c>
      <c r="S63" s="25">
        <v>1.93</v>
      </c>
      <c r="T63" s="36">
        <v>1.3047</v>
      </c>
      <c r="U63" s="28">
        <f t="shared" si="4"/>
        <v>3.209562</v>
      </c>
      <c r="V63" s="28">
        <f t="shared" si="3"/>
        <v>3.209562</v>
      </c>
      <c r="W63" s="28">
        <f t="shared" si="1"/>
        <v>2.5180709999999999</v>
      </c>
      <c r="X63" s="34">
        <f t="shared" si="2"/>
        <v>2.5180709999999999</v>
      </c>
    </row>
    <row r="64" spans="1:24" x14ac:dyDescent="0.25">
      <c r="A64" s="22">
        <v>47</v>
      </c>
      <c r="B64" s="23" t="s">
        <v>77</v>
      </c>
      <c r="C64" s="24">
        <v>0.22239999999999999</v>
      </c>
      <c r="D64" s="25">
        <v>0.90669999999999995</v>
      </c>
      <c r="E64" s="26">
        <v>0.48599999999999999</v>
      </c>
      <c r="F64" s="26"/>
      <c r="G64" s="26">
        <f>0.342+0.0482+0.0362</f>
        <v>0.42640000000000006</v>
      </c>
      <c r="H64" s="26">
        <v>3.0000000000000001E-3</v>
      </c>
      <c r="I64" s="26">
        <v>1.4999999999999999E-2</v>
      </c>
      <c r="J64" s="26">
        <v>0.74539999999999995</v>
      </c>
      <c r="K64" s="26"/>
      <c r="L64" s="26">
        <v>2.4E-2</v>
      </c>
      <c r="M64" s="26">
        <v>7.4999999999999997E-3</v>
      </c>
      <c r="N64" s="26">
        <v>0.12239999999999999</v>
      </c>
      <c r="O64" s="26"/>
      <c r="P64" s="25">
        <v>2.96</v>
      </c>
      <c r="Q64" s="25">
        <v>2.96</v>
      </c>
      <c r="R64" s="25">
        <v>2.0499999999999998</v>
      </c>
      <c r="S64" s="25">
        <v>2.0499999999999998</v>
      </c>
      <c r="T64" s="36">
        <v>1.5302</v>
      </c>
      <c r="U64" s="28">
        <f t="shared" si="4"/>
        <v>4.5293919999999996</v>
      </c>
      <c r="V64" s="28">
        <f t="shared" si="3"/>
        <v>4.5293919999999996</v>
      </c>
      <c r="W64" s="28">
        <f t="shared" si="1"/>
        <v>3.1369099999999999</v>
      </c>
      <c r="X64" s="34">
        <f t="shared" si="2"/>
        <v>3.1369099999999999</v>
      </c>
    </row>
    <row r="65" spans="1:24" x14ac:dyDescent="0.25">
      <c r="A65" s="39">
        <v>48</v>
      </c>
      <c r="B65" s="40" t="s">
        <v>78</v>
      </c>
      <c r="C65" s="41">
        <v>0.1229</v>
      </c>
      <c r="D65" s="42">
        <v>0.96560000000000001</v>
      </c>
      <c r="E65" s="43">
        <v>0.27539999999999998</v>
      </c>
      <c r="F65" s="43">
        <v>0.39889999999999998</v>
      </c>
      <c r="G65" s="43">
        <f>0.1603+0.0472+0.0377</f>
        <v>0.24519999999999997</v>
      </c>
      <c r="H65" s="43">
        <v>5.9999999999999995E-4</v>
      </c>
      <c r="I65" s="43">
        <v>3.2000000000000002E-3</v>
      </c>
      <c r="J65" s="43">
        <v>1.1527000000000001</v>
      </c>
      <c r="K65" s="43">
        <v>7.6899999999999996E-2</v>
      </c>
      <c r="L65" s="43">
        <v>1.1299999999999999E-2</v>
      </c>
      <c r="M65" s="43">
        <v>1.6000000000000001E-3</v>
      </c>
      <c r="N65" s="43">
        <v>8.0299999999999996E-2</v>
      </c>
      <c r="O65" s="43">
        <v>9.3299999999999994E-2</v>
      </c>
      <c r="P65" s="42">
        <v>3.43</v>
      </c>
      <c r="Q65" s="42">
        <v>2.86</v>
      </c>
      <c r="R65" s="42">
        <v>2.46</v>
      </c>
      <c r="S65" s="42">
        <v>1.89</v>
      </c>
      <c r="T65" s="44">
        <v>1.3577999999999999</v>
      </c>
      <c r="U65" s="45">
        <v>4.6500000000000004</v>
      </c>
      <c r="V65" s="45">
        <f t="shared" si="3"/>
        <v>3.8833079999999995</v>
      </c>
      <c r="W65" s="45">
        <f t="shared" si="1"/>
        <v>3.3401879999999995</v>
      </c>
      <c r="X65" s="46">
        <f t="shared" si="2"/>
        <v>2.5662419999999995</v>
      </c>
    </row>
    <row r="66" spans="1:24" x14ac:dyDescent="0.25">
      <c r="A66" s="29">
        <v>49</v>
      </c>
      <c r="B66" s="23" t="s">
        <v>79</v>
      </c>
      <c r="C66" s="24">
        <v>0.3039</v>
      </c>
      <c r="D66" s="25">
        <v>0.5252</v>
      </c>
      <c r="E66" s="26">
        <v>0.41620000000000001</v>
      </c>
      <c r="F66" s="26">
        <v>0.41289999999999999</v>
      </c>
      <c r="G66" s="26">
        <f>0.2432+0.0422+0.0335</f>
        <v>0.31889999999999996</v>
      </c>
      <c r="H66" s="26">
        <v>1.6999999999999999E-3</v>
      </c>
      <c r="I66" s="26">
        <v>8.3999999999999995E-3</v>
      </c>
      <c r="J66" s="26">
        <v>0.74780000000000002</v>
      </c>
      <c r="K66" s="26">
        <v>6.8400000000000002E-2</v>
      </c>
      <c r="L66" s="26">
        <v>1.6799999999999999E-2</v>
      </c>
      <c r="M66" s="26">
        <v>4.1999999999999997E-3</v>
      </c>
      <c r="N66" s="26">
        <v>4.3700000000000003E-2</v>
      </c>
      <c r="O66" s="26">
        <v>0.12809999999999999</v>
      </c>
      <c r="P66" s="28">
        <v>3</v>
      </c>
      <c r="Q66" s="25">
        <v>2.39</v>
      </c>
      <c r="R66" s="25">
        <v>2.4700000000000002</v>
      </c>
      <c r="S66" s="25">
        <v>1.86</v>
      </c>
      <c r="T66" s="36">
        <v>1.3945000000000001</v>
      </c>
      <c r="U66" s="28">
        <f t="shared" si="4"/>
        <v>4.1835000000000004</v>
      </c>
      <c r="V66" s="28">
        <f t="shared" si="3"/>
        <v>3.3328550000000003</v>
      </c>
      <c r="W66" s="28">
        <v>3.45</v>
      </c>
      <c r="X66" s="34">
        <v>2.6</v>
      </c>
    </row>
    <row r="67" spans="1:24" x14ac:dyDescent="0.25">
      <c r="A67" s="22">
        <v>50</v>
      </c>
      <c r="B67" s="23" t="s">
        <v>80</v>
      </c>
      <c r="C67" s="24">
        <v>0.33779999999999999</v>
      </c>
      <c r="D67" s="25">
        <v>0.48820000000000002</v>
      </c>
      <c r="E67" s="26">
        <v>0.34589999999999999</v>
      </c>
      <c r="F67" s="26"/>
      <c r="G67" s="26">
        <f>0.1851+0.0465+0.0309</f>
        <v>0.26249999999999996</v>
      </c>
      <c r="H67" s="26">
        <v>2.5000000000000001E-3</v>
      </c>
      <c r="I67" s="26">
        <v>1.26E-2</v>
      </c>
      <c r="J67" s="26">
        <v>0.98419999999999996</v>
      </c>
      <c r="K67" s="26"/>
      <c r="L67" s="26">
        <v>1.1999999999999999E-3</v>
      </c>
      <c r="M67" s="26">
        <v>6.4000000000000003E-3</v>
      </c>
      <c r="N67" s="26">
        <v>2.9100000000000001E-2</v>
      </c>
      <c r="O67" s="26"/>
      <c r="P67" s="25">
        <v>2.4700000000000002</v>
      </c>
      <c r="Q67" s="25">
        <v>2.4700000000000002</v>
      </c>
      <c r="R67" s="25">
        <v>1.98</v>
      </c>
      <c r="S67" s="25">
        <v>1.98</v>
      </c>
      <c r="T67" s="36">
        <v>1.2983</v>
      </c>
      <c r="U67" s="28">
        <f t="shared" si="4"/>
        <v>3.2068010000000005</v>
      </c>
      <c r="V67" s="28">
        <f t="shared" si="3"/>
        <v>3.2068010000000005</v>
      </c>
      <c r="W67" s="28">
        <f t="shared" si="1"/>
        <v>2.5706340000000001</v>
      </c>
      <c r="X67" s="34">
        <f t="shared" si="2"/>
        <v>2.5706340000000001</v>
      </c>
    </row>
    <row r="68" spans="1:24" x14ac:dyDescent="0.25">
      <c r="A68" s="22">
        <v>51</v>
      </c>
      <c r="B68" s="23" t="s">
        <v>81</v>
      </c>
      <c r="C68" s="24">
        <v>0.43480000000000002</v>
      </c>
      <c r="D68" s="25">
        <v>0.43240000000000001</v>
      </c>
      <c r="E68" s="26">
        <v>0.29270000000000002</v>
      </c>
      <c r="F68" s="26">
        <v>0.33929999999999999</v>
      </c>
      <c r="G68" s="26">
        <f>0.1691+0.0483+0.0483</f>
        <v>0.26569999999999999</v>
      </c>
      <c r="H68" s="26">
        <v>1.4E-3</v>
      </c>
      <c r="I68" s="26">
        <v>7.1999999999999998E-3</v>
      </c>
      <c r="J68" s="26">
        <v>0.78169999999999995</v>
      </c>
      <c r="K68" s="26">
        <v>6.8400000000000002E-2</v>
      </c>
      <c r="L68" s="26">
        <v>1E-3</v>
      </c>
      <c r="M68" s="26">
        <v>3.5999999999999999E-3</v>
      </c>
      <c r="N68" s="26">
        <v>5.7099999999999998E-2</v>
      </c>
      <c r="O68" s="26">
        <v>3.5900000000000001E-2</v>
      </c>
      <c r="P68" s="25">
        <v>2.72</v>
      </c>
      <c r="Q68" s="25">
        <v>2.2799999999999998</v>
      </c>
      <c r="R68" s="25">
        <v>2.29</v>
      </c>
      <c r="S68" s="25">
        <v>1.85</v>
      </c>
      <c r="T68" s="36">
        <v>1.2779</v>
      </c>
      <c r="U68" s="28">
        <f t="shared" si="4"/>
        <v>3.4758880000000003</v>
      </c>
      <c r="V68" s="28">
        <f t="shared" si="3"/>
        <v>2.9136119999999996</v>
      </c>
      <c r="W68" s="28">
        <f t="shared" si="1"/>
        <v>2.9263910000000002</v>
      </c>
      <c r="X68" s="34">
        <f t="shared" si="2"/>
        <v>2.364115</v>
      </c>
    </row>
    <row r="69" spans="1:24" x14ac:dyDescent="0.25">
      <c r="A69" s="29">
        <v>52</v>
      </c>
      <c r="B69" s="23" t="s">
        <v>82</v>
      </c>
      <c r="C69" s="24">
        <v>0.30180000000000001</v>
      </c>
      <c r="D69" s="25">
        <v>0.62829999999999997</v>
      </c>
      <c r="E69" s="26">
        <v>0.2979</v>
      </c>
      <c r="F69" s="26">
        <v>0.37419999999999998</v>
      </c>
      <c r="G69" s="26">
        <f>0.1481+0.0494+0.037</f>
        <v>0.23450000000000001</v>
      </c>
      <c r="H69" s="26">
        <v>8.0000000000000004E-4</v>
      </c>
      <c r="I69" s="26">
        <v>4.0000000000000001E-3</v>
      </c>
      <c r="J69" s="26">
        <v>0.93489999999999995</v>
      </c>
      <c r="K69" s="26">
        <v>6.8400000000000002E-2</v>
      </c>
      <c r="L69" s="26">
        <v>9.9000000000000008E-3</v>
      </c>
      <c r="M69" s="26">
        <v>2E-3</v>
      </c>
      <c r="N69" s="26">
        <v>5.4899999999999997E-2</v>
      </c>
      <c r="O69" s="26">
        <v>4.7399999999999998E-2</v>
      </c>
      <c r="P69" s="25">
        <v>2.96</v>
      </c>
      <c r="Q69" s="25">
        <v>2.4700000000000002</v>
      </c>
      <c r="R69" s="25">
        <v>2.33</v>
      </c>
      <c r="S69" s="25">
        <v>1.84</v>
      </c>
      <c r="T69" s="36">
        <v>1.2490000000000001</v>
      </c>
      <c r="U69" s="28">
        <f t="shared" si="4"/>
        <v>3.6970400000000003</v>
      </c>
      <c r="V69" s="28">
        <v>3.08</v>
      </c>
      <c r="W69" s="28">
        <f t="shared" si="1"/>
        <v>2.9101700000000004</v>
      </c>
      <c r="X69" s="34">
        <f t="shared" si="2"/>
        <v>2.2981600000000002</v>
      </c>
    </row>
    <row r="70" spans="1:24" x14ac:dyDescent="0.25">
      <c r="A70" s="22">
        <v>53</v>
      </c>
      <c r="B70" s="23" t="s">
        <v>83</v>
      </c>
      <c r="C70" s="24">
        <v>0.31290000000000001</v>
      </c>
      <c r="D70" s="25">
        <v>0.50149999999999995</v>
      </c>
      <c r="E70" s="26">
        <v>0.316</v>
      </c>
      <c r="F70" s="26">
        <v>0.46310000000000001</v>
      </c>
      <c r="G70" s="26">
        <f>0.174+0.0435+0.0348</f>
        <v>0.25229999999999997</v>
      </c>
      <c r="H70" s="26">
        <v>1.6000000000000001E-3</v>
      </c>
      <c r="I70" s="26">
        <v>7.9000000000000008E-3</v>
      </c>
      <c r="J70" s="26">
        <v>0.77839999999999998</v>
      </c>
      <c r="K70" s="26">
        <v>6.8400000000000002E-2</v>
      </c>
      <c r="L70" s="26">
        <v>1.1299999999999999E-2</v>
      </c>
      <c r="M70" s="26">
        <v>4.0000000000000001E-3</v>
      </c>
      <c r="N70" s="26">
        <v>3.5099999999999999E-2</v>
      </c>
      <c r="O70" s="26">
        <v>6.59E-2</v>
      </c>
      <c r="P70" s="25">
        <v>2.82</v>
      </c>
      <c r="Q70" s="25">
        <v>2.2200000000000002</v>
      </c>
      <c r="R70" s="25">
        <v>2.3199999999999998</v>
      </c>
      <c r="S70" s="25">
        <v>1.72</v>
      </c>
      <c r="T70" s="36">
        <v>1.3314999999999999</v>
      </c>
      <c r="U70" s="28">
        <f t="shared" si="4"/>
        <v>3.7548299999999997</v>
      </c>
      <c r="V70" s="28">
        <f t="shared" si="3"/>
        <v>2.9559299999999999</v>
      </c>
      <c r="W70" s="28">
        <f t="shared" si="1"/>
        <v>3.0890799999999996</v>
      </c>
      <c r="X70" s="34">
        <f t="shared" si="2"/>
        <v>2.2901799999999999</v>
      </c>
    </row>
    <row r="71" spans="1:24" x14ac:dyDescent="0.25">
      <c r="A71" s="22">
        <v>54</v>
      </c>
      <c r="B71" s="23" t="s">
        <v>84</v>
      </c>
      <c r="C71" s="24">
        <v>0.29249999999999998</v>
      </c>
      <c r="D71" s="25">
        <v>0.63719999999999999</v>
      </c>
      <c r="E71" s="26">
        <v>0.32119999999999999</v>
      </c>
      <c r="F71" s="26">
        <v>0.40560000000000002</v>
      </c>
      <c r="G71" s="26">
        <f>0.1483+0.0412+0.033</f>
        <v>0.2225</v>
      </c>
      <c r="H71" s="26">
        <v>1.9E-3</v>
      </c>
      <c r="I71" s="26">
        <v>9.4000000000000004E-3</v>
      </c>
      <c r="J71" s="26">
        <v>0.91839999999999999</v>
      </c>
      <c r="K71" s="26">
        <v>6.8400000000000002E-2</v>
      </c>
      <c r="L71" s="26">
        <v>1.06E-2</v>
      </c>
      <c r="M71" s="26">
        <v>5.1000000000000004E-3</v>
      </c>
      <c r="N71" s="26">
        <v>2.46E-2</v>
      </c>
      <c r="O71" s="26">
        <v>8.7499999999999994E-2</v>
      </c>
      <c r="P71" s="28">
        <v>3</v>
      </c>
      <c r="Q71" s="25">
        <v>2.44</v>
      </c>
      <c r="R71" s="25">
        <v>2.37</v>
      </c>
      <c r="S71" s="25">
        <v>1.81</v>
      </c>
      <c r="T71" s="36">
        <v>1.284</v>
      </c>
      <c r="U71" s="28">
        <v>3.86</v>
      </c>
      <c r="V71" s="28">
        <v>3.14</v>
      </c>
      <c r="W71" s="28">
        <f t="shared" si="1"/>
        <v>3.0430800000000002</v>
      </c>
      <c r="X71" s="34">
        <f t="shared" si="2"/>
        <v>2.3240400000000001</v>
      </c>
    </row>
    <row r="72" spans="1:24" x14ac:dyDescent="0.25">
      <c r="A72" s="29">
        <v>55</v>
      </c>
      <c r="B72" s="23" t="s">
        <v>85</v>
      </c>
      <c r="C72" s="24">
        <v>0.25779999999999997</v>
      </c>
      <c r="D72" s="25">
        <v>0.68440000000000001</v>
      </c>
      <c r="E72" s="26">
        <v>0.3639</v>
      </c>
      <c r="F72" s="26">
        <v>0.61899999999999999</v>
      </c>
      <c r="G72" s="26">
        <f>0.1894+0.0437+0.0364</f>
        <v>0.26950000000000002</v>
      </c>
      <c r="H72" s="26">
        <v>1.8E-3</v>
      </c>
      <c r="I72" s="26">
        <v>9.1000000000000004E-3</v>
      </c>
      <c r="J72" s="26">
        <v>0.76990000000000003</v>
      </c>
      <c r="K72" s="26">
        <v>6.8400000000000002E-2</v>
      </c>
      <c r="L72" s="26">
        <v>1.4500000000000001E-2</v>
      </c>
      <c r="M72" s="26">
        <v>4.5999999999999999E-3</v>
      </c>
      <c r="N72" s="26">
        <v>6.0100000000000001E-2</v>
      </c>
      <c r="O72" s="26">
        <v>5.3100000000000001E-2</v>
      </c>
      <c r="P72" s="25">
        <v>3.18</v>
      </c>
      <c r="Q72" s="25">
        <v>2.44</v>
      </c>
      <c r="R72" s="25">
        <v>2.4900000000000002</v>
      </c>
      <c r="S72" s="25">
        <v>1.75</v>
      </c>
      <c r="T72" s="36">
        <v>1.3493999999999999</v>
      </c>
      <c r="U72" s="28">
        <f t="shared" si="4"/>
        <v>4.2910919999999999</v>
      </c>
      <c r="V72" s="28">
        <f t="shared" si="3"/>
        <v>3.2925359999999997</v>
      </c>
      <c r="W72" s="28">
        <f t="shared" si="1"/>
        <v>3.3600060000000003</v>
      </c>
      <c r="X72" s="34">
        <f t="shared" si="2"/>
        <v>2.36145</v>
      </c>
    </row>
    <row r="73" spans="1:24" x14ac:dyDescent="0.25">
      <c r="A73" s="22">
        <v>56</v>
      </c>
      <c r="B73" s="23" t="s">
        <v>86</v>
      </c>
      <c r="C73" s="24">
        <v>0.37030000000000002</v>
      </c>
      <c r="D73" s="25">
        <v>0.69420000000000004</v>
      </c>
      <c r="E73" s="26">
        <v>0.35</v>
      </c>
      <c r="F73" s="26">
        <v>0.48020000000000002</v>
      </c>
      <c r="G73" s="26">
        <f>0.1708+0.0428+0.0342</f>
        <v>0.24780000000000002</v>
      </c>
      <c r="H73" s="26">
        <v>2E-3</v>
      </c>
      <c r="I73" s="26">
        <v>9.7999999999999997E-3</v>
      </c>
      <c r="J73" s="26">
        <v>0.81489999999999996</v>
      </c>
      <c r="K73" s="26">
        <v>6.8400000000000002E-2</v>
      </c>
      <c r="L73" s="26">
        <v>8.6E-3</v>
      </c>
      <c r="M73" s="26">
        <v>5.0000000000000001E-3</v>
      </c>
      <c r="N73" s="26">
        <v>4.3900000000000002E-2</v>
      </c>
      <c r="O73" s="26">
        <v>8.09E-2</v>
      </c>
      <c r="P73" s="25">
        <v>3.18</v>
      </c>
      <c r="Q73" s="25">
        <v>2.5499999999999998</v>
      </c>
      <c r="R73" s="25">
        <v>2.48</v>
      </c>
      <c r="S73" s="25">
        <v>1.85</v>
      </c>
      <c r="T73" s="36">
        <v>1.3480000000000001</v>
      </c>
      <c r="U73" s="28">
        <v>4.28</v>
      </c>
      <c r="V73" s="28">
        <v>3.43</v>
      </c>
      <c r="W73" s="28">
        <v>3.35</v>
      </c>
      <c r="X73" s="34">
        <v>2.5</v>
      </c>
    </row>
    <row r="74" spans="1:24" x14ac:dyDescent="0.25">
      <c r="A74" s="22">
        <v>57</v>
      </c>
      <c r="B74" s="23" t="s">
        <v>87</v>
      </c>
      <c r="C74" s="24">
        <v>0.30259999999999998</v>
      </c>
      <c r="D74" s="25">
        <v>1.4146000000000001</v>
      </c>
      <c r="E74" s="26">
        <v>0.46810000000000002</v>
      </c>
      <c r="F74" s="26">
        <v>0.31490000000000001</v>
      </c>
      <c r="G74" s="26">
        <f>0.3709+0.0456+0.0379</f>
        <v>0.45439999999999997</v>
      </c>
      <c r="H74" s="26">
        <v>2.0999999999999999E-3</v>
      </c>
      <c r="I74" s="26">
        <v>1.03E-2</v>
      </c>
      <c r="J74" s="26">
        <v>0.71319999999999995</v>
      </c>
      <c r="K74" s="26">
        <v>6.8400000000000002E-2</v>
      </c>
      <c r="L74" s="26">
        <v>2.2700000000000001E-2</v>
      </c>
      <c r="M74" s="26">
        <v>5.1999999999999998E-3</v>
      </c>
      <c r="N74" s="26">
        <v>6.8199999999999997E-2</v>
      </c>
      <c r="O74" s="26">
        <v>5.0299999999999997E-2</v>
      </c>
      <c r="P74" s="25">
        <v>3.89</v>
      </c>
      <c r="Q74" s="25">
        <v>3.46</v>
      </c>
      <c r="R74" s="25">
        <v>2.48</v>
      </c>
      <c r="S74" s="25">
        <v>2.0499999999999998</v>
      </c>
      <c r="T74" s="36">
        <v>1.3915999999999999</v>
      </c>
      <c r="U74" s="28">
        <v>5.42</v>
      </c>
      <c r="V74" s="28">
        <v>4.82</v>
      </c>
      <c r="W74" s="28">
        <f t="shared" si="1"/>
        <v>3.451168</v>
      </c>
      <c r="X74" s="34">
        <f t="shared" si="2"/>
        <v>2.8527799999999996</v>
      </c>
    </row>
    <row r="75" spans="1:24" x14ac:dyDescent="0.25">
      <c r="A75" s="29">
        <v>58</v>
      </c>
      <c r="B75" s="23" t="s">
        <v>88</v>
      </c>
      <c r="C75" s="24">
        <v>0.41880000000000001</v>
      </c>
      <c r="D75" s="25">
        <v>0.62290000000000001</v>
      </c>
      <c r="E75" s="26">
        <v>0.27960000000000002</v>
      </c>
      <c r="F75" s="26">
        <v>0.47560000000000002</v>
      </c>
      <c r="G75" s="26">
        <f>0.1376+0.0382+0.0306</f>
        <v>0.2064</v>
      </c>
      <c r="H75" s="26">
        <v>1.4E-3</v>
      </c>
      <c r="I75" s="26">
        <v>6.8999999999999999E-3</v>
      </c>
      <c r="J75" s="26">
        <v>0.80700000000000005</v>
      </c>
      <c r="K75" s="26">
        <v>6.8400000000000002E-2</v>
      </c>
      <c r="L75" s="26">
        <v>8.8000000000000005E-3</v>
      </c>
      <c r="M75" s="26">
        <v>4.1000000000000003E-3</v>
      </c>
      <c r="N75" s="26">
        <v>3.1699999999999999E-2</v>
      </c>
      <c r="O75" s="26">
        <v>0.12609999999999999</v>
      </c>
      <c r="P75" s="25">
        <v>3.06</v>
      </c>
      <c r="Q75" s="25">
        <v>2.39</v>
      </c>
      <c r="R75" s="25">
        <v>2.4300000000000002</v>
      </c>
      <c r="S75" s="25">
        <v>1.76</v>
      </c>
      <c r="T75" s="36">
        <v>1.3048</v>
      </c>
      <c r="U75" s="28">
        <f t="shared" si="4"/>
        <v>3.9926879999999998</v>
      </c>
      <c r="V75" s="28">
        <f t="shared" si="3"/>
        <v>3.1184720000000001</v>
      </c>
      <c r="W75" s="28">
        <v>3.18</v>
      </c>
      <c r="X75" s="34">
        <f t="shared" si="2"/>
        <v>2.2964479999999998</v>
      </c>
    </row>
    <row r="76" spans="1:24" x14ac:dyDescent="0.25">
      <c r="A76" s="22">
        <v>59</v>
      </c>
      <c r="B76" s="23" t="s">
        <v>89</v>
      </c>
      <c r="C76" s="24">
        <v>0.15529999999999999</v>
      </c>
      <c r="D76" s="25">
        <v>1.4584999999999999</v>
      </c>
      <c r="E76" s="26">
        <v>0.47570000000000001</v>
      </c>
      <c r="F76" s="26">
        <v>0.34620000000000001</v>
      </c>
      <c r="G76" s="26">
        <f>0.3654+0.0457+0.0381</f>
        <v>0.44920000000000004</v>
      </c>
      <c r="H76" s="26">
        <v>1.6000000000000001E-3</v>
      </c>
      <c r="I76" s="26">
        <v>7.7999999999999996E-3</v>
      </c>
      <c r="J76" s="26">
        <v>0.83899999999999997</v>
      </c>
      <c r="K76" s="26">
        <v>6.8400000000000002E-2</v>
      </c>
      <c r="L76" s="26">
        <v>2.3400000000000001E-2</v>
      </c>
      <c r="M76" s="26">
        <v>4.0000000000000001E-3</v>
      </c>
      <c r="N76" s="26">
        <v>6.5000000000000002E-2</v>
      </c>
      <c r="O76" s="26">
        <v>6.0400000000000002E-2</v>
      </c>
      <c r="P76" s="25">
        <v>3.95</v>
      </c>
      <c r="Q76" s="25">
        <v>3.48</v>
      </c>
      <c r="R76" s="25">
        <v>2.5</v>
      </c>
      <c r="S76" s="25">
        <v>2.02</v>
      </c>
      <c r="T76" s="36">
        <v>1.4012</v>
      </c>
      <c r="U76" s="28">
        <v>5.54</v>
      </c>
      <c r="V76" s="28">
        <f t="shared" si="3"/>
        <v>4.8761760000000001</v>
      </c>
      <c r="W76" s="28">
        <f t="shared" si="1"/>
        <v>3.5030000000000001</v>
      </c>
      <c r="X76" s="34">
        <f t="shared" si="2"/>
        <v>2.8304239999999998</v>
      </c>
    </row>
    <row r="77" spans="1:24" x14ac:dyDescent="0.25">
      <c r="A77" s="22">
        <v>60</v>
      </c>
      <c r="B77" s="23" t="s">
        <v>90</v>
      </c>
      <c r="C77" s="24">
        <v>0.2276</v>
      </c>
      <c r="D77" s="25">
        <v>0.64780000000000004</v>
      </c>
      <c r="E77" s="26">
        <v>0.32300000000000001</v>
      </c>
      <c r="F77" s="26">
        <v>0.47749999999999998</v>
      </c>
      <c r="G77" s="26">
        <f>0.2047+0.0462+0.0376</f>
        <v>0.28850000000000003</v>
      </c>
      <c r="H77" s="26">
        <v>1.5E-3</v>
      </c>
      <c r="I77" s="26">
        <v>7.6E-3</v>
      </c>
      <c r="J77" s="26">
        <v>0.95069999999999999</v>
      </c>
      <c r="K77" s="26">
        <v>6.8400000000000002E-2</v>
      </c>
      <c r="L77" s="26">
        <v>1.26E-2</v>
      </c>
      <c r="M77" s="26">
        <v>3.8999999999999998E-3</v>
      </c>
      <c r="N77" s="26">
        <v>5.33E-2</v>
      </c>
      <c r="O77" s="26">
        <v>4.9000000000000002E-2</v>
      </c>
      <c r="P77" s="25">
        <v>3.11</v>
      </c>
      <c r="Q77" s="25">
        <v>2.52</v>
      </c>
      <c r="R77" s="25">
        <v>2.46</v>
      </c>
      <c r="S77" s="25">
        <v>1.87</v>
      </c>
      <c r="T77" s="36">
        <v>1.3517999999999999</v>
      </c>
      <c r="U77" s="28">
        <v>4.21</v>
      </c>
      <c r="V77" s="28">
        <v>3.4</v>
      </c>
      <c r="W77" s="28">
        <f t="shared" si="1"/>
        <v>3.3254279999999996</v>
      </c>
      <c r="X77" s="34">
        <f t="shared" si="2"/>
        <v>2.5278659999999999</v>
      </c>
    </row>
    <row r="78" spans="1:24" x14ac:dyDescent="0.25">
      <c r="A78" s="29">
        <v>61</v>
      </c>
      <c r="B78" s="23" t="s">
        <v>91</v>
      </c>
      <c r="C78" s="24">
        <v>0.28960000000000002</v>
      </c>
      <c r="D78" s="31">
        <v>0.61599999999999999</v>
      </c>
      <c r="E78" s="26">
        <v>0.31759999999999999</v>
      </c>
      <c r="F78" s="26">
        <v>0.45789999999999997</v>
      </c>
      <c r="G78" s="26">
        <f>0.166+0.0453+0.0352</f>
        <v>0.24650000000000002</v>
      </c>
      <c r="H78" s="26">
        <v>2.3E-3</v>
      </c>
      <c r="I78" s="26">
        <v>1.1299999999999999E-2</v>
      </c>
      <c r="J78" s="26">
        <v>0.98919999999999997</v>
      </c>
      <c r="K78" s="26">
        <v>6.8400000000000002E-2</v>
      </c>
      <c r="L78" s="26">
        <v>0.01</v>
      </c>
      <c r="M78" s="26">
        <v>5.7000000000000002E-3</v>
      </c>
      <c r="N78" s="26">
        <v>2.7400000000000001E-2</v>
      </c>
      <c r="O78" s="26">
        <v>4.48E-2</v>
      </c>
      <c r="P78" s="25">
        <v>3.09</v>
      </c>
      <c r="Q78" s="25">
        <v>2.52</v>
      </c>
      <c r="R78" s="25">
        <v>2.4700000000000002</v>
      </c>
      <c r="S78" s="25">
        <v>1.9</v>
      </c>
      <c r="T78" s="36">
        <v>1.3032999999999999</v>
      </c>
      <c r="U78" s="28">
        <f t="shared" si="4"/>
        <v>4.0271969999999992</v>
      </c>
      <c r="V78" s="28">
        <v>3.28</v>
      </c>
      <c r="W78" s="28">
        <f t="shared" si="1"/>
        <v>3.2191510000000001</v>
      </c>
      <c r="X78" s="34">
        <f t="shared" si="2"/>
        <v>2.4762699999999995</v>
      </c>
    </row>
    <row r="79" spans="1:24" x14ac:dyDescent="0.25">
      <c r="A79" s="22">
        <v>62</v>
      </c>
      <c r="B79" s="23" t="s">
        <v>92</v>
      </c>
      <c r="C79" s="24">
        <v>0.28249999999999997</v>
      </c>
      <c r="D79" s="31">
        <v>0.69499999999999995</v>
      </c>
      <c r="E79" s="26">
        <v>0.36430000000000001</v>
      </c>
      <c r="F79" s="26">
        <v>0.59209999999999996</v>
      </c>
      <c r="G79" s="26">
        <f>0.1816+0.0489+0.0349</f>
        <v>0.26540000000000002</v>
      </c>
      <c r="H79" s="26">
        <v>1.4E-3</v>
      </c>
      <c r="I79" s="26">
        <v>7.0000000000000001E-3</v>
      </c>
      <c r="J79" s="26">
        <v>0.77949999999999997</v>
      </c>
      <c r="K79" s="26">
        <v>6.8400000000000002E-2</v>
      </c>
      <c r="L79" s="26">
        <v>1.3899999999999999E-2</v>
      </c>
      <c r="M79" s="26">
        <v>3.5000000000000001E-3</v>
      </c>
      <c r="N79" s="26">
        <v>3.7699999999999997E-2</v>
      </c>
      <c r="O79" s="26">
        <v>5.1999999999999998E-2</v>
      </c>
      <c r="P79" s="25">
        <v>3.16</v>
      </c>
      <c r="Q79" s="25">
        <v>2.4500000000000002</v>
      </c>
      <c r="R79" s="25">
        <v>2.4700000000000002</v>
      </c>
      <c r="S79" s="25">
        <v>1.76</v>
      </c>
      <c r="T79" s="36">
        <v>1.3028999999999999</v>
      </c>
      <c r="U79" s="28">
        <f t="shared" si="4"/>
        <v>4.1171639999999998</v>
      </c>
      <c r="V79" s="28">
        <f t="shared" si="3"/>
        <v>3.1921050000000002</v>
      </c>
      <c r="W79" s="28">
        <f t="shared" si="1"/>
        <v>3.2181630000000001</v>
      </c>
      <c r="X79" s="34">
        <f t="shared" si="2"/>
        <v>2.293104</v>
      </c>
    </row>
    <row r="80" spans="1:24" x14ac:dyDescent="0.25">
      <c r="A80" s="22">
        <v>63</v>
      </c>
      <c r="B80" s="23" t="s">
        <v>93</v>
      </c>
      <c r="C80" s="24">
        <v>0.1903</v>
      </c>
      <c r="D80" s="25">
        <v>0.96560000000000001</v>
      </c>
      <c r="E80" s="26">
        <v>0.31630000000000003</v>
      </c>
      <c r="F80" s="26">
        <v>0.43140000000000001</v>
      </c>
      <c r="G80" s="26">
        <f>0.1603+0.0472+0.0377</f>
        <v>0.24519999999999997</v>
      </c>
      <c r="H80" s="26">
        <v>5.9999999999999995E-4</v>
      </c>
      <c r="I80" s="26">
        <v>3.2000000000000002E-3</v>
      </c>
      <c r="J80" s="26">
        <v>1.0918000000000001</v>
      </c>
      <c r="K80" s="26">
        <v>6.8400000000000002E-2</v>
      </c>
      <c r="L80" s="26">
        <v>9.4000000000000004E-3</v>
      </c>
      <c r="M80" s="26">
        <v>1.6000000000000001E-3</v>
      </c>
      <c r="N80" s="26">
        <v>6.1199999999999997E-2</v>
      </c>
      <c r="O80" s="26">
        <v>8.4900000000000003E-2</v>
      </c>
      <c r="P80" s="25">
        <v>3.47</v>
      </c>
      <c r="Q80" s="25">
        <v>2.89</v>
      </c>
      <c r="R80" s="25">
        <v>2.5</v>
      </c>
      <c r="S80" s="25">
        <v>1.92</v>
      </c>
      <c r="T80" s="36">
        <v>1.3284</v>
      </c>
      <c r="U80" s="28">
        <f t="shared" si="4"/>
        <v>4.6095480000000002</v>
      </c>
      <c r="V80" s="28">
        <v>3.83</v>
      </c>
      <c r="W80" s="28">
        <v>3.33</v>
      </c>
      <c r="X80" s="34">
        <f t="shared" si="2"/>
        <v>2.5505279999999999</v>
      </c>
    </row>
    <row r="81" spans="1:24" x14ac:dyDescent="0.25">
      <c r="A81" s="29">
        <v>64</v>
      </c>
      <c r="B81" s="23" t="s">
        <v>94</v>
      </c>
      <c r="C81" s="24">
        <v>0.13009999999999999</v>
      </c>
      <c r="D81" s="25">
        <v>0.77090000000000003</v>
      </c>
      <c r="E81" s="26">
        <v>0.42459999999999998</v>
      </c>
      <c r="F81" s="26">
        <v>0.42659999999999998</v>
      </c>
      <c r="G81" s="26">
        <f>0.1928+0.0354+0.0344</f>
        <v>0.2626</v>
      </c>
      <c r="H81" s="26">
        <v>1.5E-3</v>
      </c>
      <c r="I81" s="26">
        <v>7.4000000000000003E-3</v>
      </c>
      <c r="J81" s="26">
        <v>0.95340000000000003</v>
      </c>
      <c r="K81" s="26">
        <v>6.8400000000000002E-2</v>
      </c>
      <c r="L81" s="26">
        <v>1.7899999999999999E-2</v>
      </c>
      <c r="M81" s="26">
        <v>3.8E-3</v>
      </c>
      <c r="N81" s="26">
        <v>5.91E-2</v>
      </c>
      <c r="O81" s="26">
        <v>4.3900000000000002E-2</v>
      </c>
      <c r="P81" s="25">
        <v>3.17</v>
      </c>
      <c r="Q81" s="25">
        <v>2.63</v>
      </c>
      <c r="R81" s="25">
        <v>2.4</v>
      </c>
      <c r="S81" s="25">
        <v>1.86</v>
      </c>
      <c r="T81" s="36">
        <v>1.3216000000000001</v>
      </c>
      <c r="U81" s="28">
        <f t="shared" si="4"/>
        <v>4.1894720000000003</v>
      </c>
      <c r="V81" s="28">
        <f t="shared" si="3"/>
        <v>3.4758080000000002</v>
      </c>
      <c r="W81" s="28">
        <f t="shared" si="1"/>
        <v>3.17184</v>
      </c>
      <c r="X81" s="34">
        <f t="shared" si="2"/>
        <v>2.4581760000000004</v>
      </c>
    </row>
    <row r="82" spans="1:24" x14ac:dyDescent="0.25">
      <c r="A82" s="22">
        <v>65</v>
      </c>
      <c r="B82" s="23" t="s">
        <v>95</v>
      </c>
      <c r="C82" s="24">
        <v>0.28470000000000001</v>
      </c>
      <c r="D82" s="25">
        <v>0.69879999999999998</v>
      </c>
      <c r="E82" s="26">
        <v>0.37059999999999998</v>
      </c>
      <c r="F82" s="26">
        <v>0.51180000000000003</v>
      </c>
      <c r="G82" s="26">
        <f>0.185+0.0446+0.037</f>
        <v>0.2666</v>
      </c>
      <c r="H82" s="26">
        <v>1.9E-3</v>
      </c>
      <c r="I82" s="26">
        <v>9.4000000000000004E-3</v>
      </c>
      <c r="J82" s="26">
        <v>0.83360000000000001</v>
      </c>
      <c r="K82" s="26">
        <v>6.8400000000000002E-2</v>
      </c>
      <c r="L82" s="26">
        <v>1.4800000000000001E-2</v>
      </c>
      <c r="M82" s="26">
        <v>4.7999999999999996E-3</v>
      </c>
      <c r="N82" s="26">
        <v>3.2500000000000001E-2</v>
      </c>
      <c r="O82" s="26">
        <v>5.45E-2</v>
      </c>
      <c r="P82" s="25">
        <v>3.15</v>
      </c>
      <c r="Q82" s="25">
        <v>2.52</v>
      </c>
      <c r="R82" s="25">
        <v>2.4500000000000002</v>
      </c>
      <c r="S82" s="25">
        <v>1.82</v>
      </c>
      <c r="T82" s="36">
        <v>1.2907</v>
      </c>
      <c r="U82" s="28">
        <f t="shared" si="4"/>
        <v>4.0657049999999995</v>
      </c>
      <c r="V82" s="28">
        <f t="shared" si="3"/>
        <v>3.252564</v>
      </c>
      <c r="W82" s="28">
        <v>3.17</v>
      </c>
      <c r="X82" s="34">
        <f t="shared" si="2"/>
        <v>2.3490739999999999</v>
      </c>
    </row>
    <row r="83" spans="1:24" x14ac:dyDescent="0.25">
      <c r="A83" s="39">
        <v>66</v>
      </c>
      <c r="B83" s="40" t="s">
        <v>96</v>
      </c>
      <c r="C83" s="41">
        <v>0.22270000000000001</v>
      </c>
      <c r="D83" s="47">
        <v>1.069</v>
      </c>
      <c r="E83" s="43">
        <v>0.40620000000000001</v>
      </c>
      <c r="F83" s="43"/>
      <c r="G83" s="43">
        <f>0.3318+0.0449+0.0343</f>
        <v>0.41099999999999998</v>
      </c>
      <c r="H83" s="43">
        <v>3.5999999999999999E-3</v>
      </c>
      <c r="I83" s="43">
        <v>1.7899999999999999E-2</v>
      </c>
      <c r="J83" s="43">
        <v>0.87880000000000003</v>
      </c>
      <c r="K83" s="43"/>
      <c r="L83" s="43">
        <v>2.3599999999999999E-2</v>
      </c>
      <c r="M83" s="43">
        <v>9.1999999999999998E-3</v>
      </c>
      <c r="N83" s="43">
        <v>0.1186</v>
      </c>
      <c r="O83" s="43"/>
      <c r="P83" s="45">
        <v>3.16</v>
      </c>
      <c r="Q83" s="42">
        <v>3.16</v>
      </c>
      <c r="R83" s="42">
        <v>2.09</v>
      </c>
      <c r="S83" s="42">
        <v>2.09</v>
      </c>
      <c r="T83" s="44">
        <v>1.4475</v>
      </c>
      <c r="U83" s="45">
        <v>4.58</v>
      </c>
      <c r="V83" s="45">
        <v>4.58</v>
      </c>
      <c r="W83" s="45">
        <f t="shared" ref="W83:W146" si="5">R83*T83</f>
        <v>3.0252749999999997</v>
      </c>
      <c r="X83" s="46">
        <f t="shared" ref="X83:X146" si="6">S83*T83</f>
        <v>3.0252749999999997</v>
      </c>
    </row>
    <row r="84" spans="1:24" x14ac:dyDescent="0.25">
      <c r="A84" s="48">
        <v>67</v>
      </c>
      <c r="B84" s="40" t="s">
        <v>97</v>
      </c>
      <c r="C84" s="41">
        <v>0.37509999999999999</v>
      </c>
      <c r="D84" s="42">
        <v>0.47670000000000001</v>
      </c>
      <c r="E84" s="43">
        <v>0.3518</v>
      </c>
      <c r="F84" s="43"/>
      <c r="G84" s="43">
        <f>0.1887+0.0436+0.0325</f>
        <v>0.26480000000000004</v>
      </c>
      <c r="H84" s="43">
        <v>2.8E-3</v>
      </c>
      <c r="I84" s="43">
        <v>1.4200000000000001E-2</v>
      </c>
      <c r="J84" s="43">
        <v>0.84819999999999995</v>
      </c>
      <c r="K84" s="43"/>
      <c r="L84" s="43">
        <v>1.4200000000000001E-2</v>
      </c>
      <c r="M84" s="43">
        <v>7.4000000000000003E-3</v>
      </c>
      <c r="N84" s="43">
        <v>2.7300000000000001E-2</v>
      </c>
      <c r="O84" s="43"/>
      <c r="P84" s="45">
        <v>2.38</v>
      </c>
      <c r="Q84" s="42">
        <v>2.38</v>
      </c>
      <c r="R84" s="42">
        <v>1.91</v>
      </c>
      <c r="S84" s="42">
        <v>1.91</v>
      </c>
      <c r="T84" s="44">
        <v>1.2618</v>
      </c>
      <c r="U84" s="45">
        <v>3</v>
      </c>
      <c r="V84" s="45">
        <f t="shared" ref="V84:V147" si="7">Q84*T84</f>
        <v>3.0030839999999999</v>
      </c>
      <c r="W84" s="45">
        <f t="shared" si="5"/>
        <v>2.4100380000000001</v>
      </c>
      <c r="X84" s="46">
        <f t="shared" si="6"/>
        <v>2.4100380000000001</v>
      </c>
    </row>
    <row r="85" spans="1:24" x14ac:dyDescent="0.25">
      <c r="A85" s="39">
        <v>68</v>
      </c>
      <c r="B85" s="40" t="s">
        <v>98</v>
      </c>
      <c r="C85" s="41">
        <v>0.40429999999999999</v>
      </c>
      <c r="D85" s="42">
        <v>0.42909999999999998</v>
      </c>
      <c r="E85" s="43">
        <v>0.36359999999999998</v>
      </c>
      <c r="F85" s="43"/>
      <c r="G85" s="43">
        <f>0.2069+0.0446+0.0366</f>
        <v>0.28810000000000002</v>
      </c>
      <c r="H85" s="43">
        <v>3.3E-3</v>
      </c>
      <c r="I85" s="43">
        <v>1.6400000000000001E-2</v>
      </c>
      <c r="J85" s="43">
        <v>0.80800000000000005</v>
      </c>
      <c r="K85" s="43"/>
      <c r="L85" s="43">
        <v>1.29E-2</v>
      </c>
      <c r="M85" s="43">
        <v>8.3999999999999995E-3</v>
      </c>
      <c r="N85" s="43">
        <v>2.1600000000000001E-2</v>
      </c>
      <c r="O85" s="43"/>
      <c r="P85" s="45">
        <v>2.36</v>
      </c>
      <c r="Q85" s="42">
        <v>2.36</v>
      </c>
      <c r="R85" s="42">
        <v>1.93</v>
      </c>
      <c r="S85" s="42">
        <v>1.93</v>
      </c>
      <c r="T85" s="44">
        <v>1.2922</v>
      </c>
      <c r="U85" s="45">
        <f t="shared" si="4"/>
        <v>3.0495920000000001</v>
      </c>
      <c r="V85" s="45">
        <f t="shared" si="7"/>
        <v>3.0495920000000001</v>
      </c>
      <c r="W85" s="45">
        <f t="shared" si="5"/>
        <v>2.4939459999999998</v>
      </c>
      <c r="X85" s="46">
        <f t="shared" si="6"/>
        <v>2.4939459999999998</v>
      </c>
    </row>
    <row r="86" spans="1:24" x14ac:dyDescent="0.25">
      <c r="A86" s="22">
        <v>69</v>
      </c>
      <c r="B86" s="23" t="s">
        <v>99</v>
      </c>
      <c r="C86" s="24">
        <v>0.40989999999999999</v>
      </c>
      <c r="D86" s="25">
        <v>0.46510000000000001</v>
      </c>
      <c r="E86" s="26">
        <v>0.32500000000000001</v>
      </c>
      <c r="F86" s="26"/>
      <c r="G86" s="26">
        <f>0.1967+0.0421+0.0333</f>
        <v>0.27210000000000001</v>
      </c>
      <c r="H86" s="26">
        <v>2.7000000000000001E-3</v>
      </c>
      <c r="I86" s="26">
        <v>1.34E-2</v>
      </c>
      <c r="J86" s="26">
        <v>0.84389999999999998</v>
      </c>
      <c r="K86" s="26"/>
      <c r="L86" s="26">
        <v>1.3299999999999999E-2</v>
      </c>
      <c r="M86" s="26">
        <v>7.1999999999999998E-3</v>
      </c>
      <c r="N86" s="26">
        <v>4.7300000000000002E-2</v>
      </c>
      <c r="O86" s="26"/>
      <c r="P86" s="25">
        <v>2.39</v>
      </c>
      <c r="Q86" s="25">
        <v>2.39</v>
      </c>
      <c r="R86" s="25">
        <v>1.93</v>
      </c>
      <c r="S86" s="25">
        <v>1.93</v>
      </c>
      <c r="T86" s="36">
        <v>1.2422</v>
      </c>
      <c r="U86" s="28">
        <f t="shared" si="4"/>
        <v>2.968858</v>
      </c>
      <c r="V86" s="28">
        <f t="shared" si="7"/>
        <v>2.968858</v>
      </c>
      <c r="W86" s="28">
        <f t="shared" si="5"/>
        <v>2.397446</v>
      </c>
      <c r="X86" s="34">
        <f t="shared" si="6"/>
        <v>2.397446</v>
      </c>
    </row>
    <row r="87" spans="1:24" x14ac:dyDescent="0.25">
      <c r="A87" s="29">
        <v>70</v>
      </c>
      <c r="B87" s="23" t="s">
        <v>100</v>
      </c>
      <c r="C87" s="24">
        <v>0.29370000000000002</v>
      </c>
      <c r="D87" s="25">
        <v>0.56459999999999999</v>
      </c>
      <c r="E87" s="26">
        <v>0.32679999999999998</v>
      </c>
      <c r="F87" s="26">
        <v>0.56389999999999996</v>
      </c>
      <c r="G87" s="26">
        <f>0.14+0.0408+0.0327</f>
        <v>0.21350000000000002</v>
      </c>
      <c r="H87" s="26">
        <v>1E-4</v>
      </c>
      <c r="I87" s="26">
        <v>2.9999999999999997E-4</v>
      </c>
      <c r="J87" s="26">
        <v>0.79879999999999995</v>
      </c>
      <c r="K87" s="26">
        <v>6.8400000000000002E-2</v>
      </c>
      <c r="L87" s="26">
        <v>1.3100000000000001E-2</v>
      </c>
      <c r="M87" s="26">
        <v>1E-4</v>
      </c>
      <c r="N87" s="26">
        <v>3.7900000000000003E-2</v>
      </c>
      <c r="O87" s="26">
        <v>6.5100000000000005E-2</v>
      </c>
      <c r="P87" s="25">
        <v>2.95</v>
      </c>
      <c r="Q87" s="25">
        <v>2.25</v>
      </c>
      <c r="R87" s="25">
        <v>2.38</v>
      </c>
      <c r="S87" s="25">
        <v>1.68</v>
      </c>
      <c r="T87" s="36">
        <v>1.3201000000000001</v>
      </c>
      <c r="U87" s="28">
        <f t="shared" si="4"/>
        <v>3.8942950000000005</v>
      </c>
      <c r="V87" s="28">
        <f t="shared" si="7"/>
        <v>2.9702250000000001</v>
      </c>
      <c r="W87" s="28">
        <f t="shared" si="5"/>
        <v>3.1418379999999999</v>
      </c>
      <c r="X87" s="34">
        <f t="shared" si="6"/>
        <v>2.217768</v>
      </c>
    </row>
    <row r="88" spans="1:24" x14ac:dyDescent="0.25">
      <c r="A88" s="22">
        <v>71</v>
      </c>
      <c r="B88" s="23" t="s">
        <v>101</v>
      </c>
      <c r="C88" s="24">
        <v>0.35520000000000002</v>
      </c>
      <c r="D88" s="25">
        <v>0.43109999999999998</v>
      </c>
      <c r="E88" s="26">
        <v>0.33750000000000002</v>
      </c>
      <c r="F88" s="26"/>
      <c r="G88" s="26">
        <f>0.2043+0.0456+0.0409</f>
        <v>0.2908</v>
      </c>
      <c r="H88" s="26">
        <v>2.7000000000000001E-3</v>
      </c>
      <c r="I88" s="26">
        <v>1.35E-2</v>
      </c>
      <c r="J88" s="26">
        <v>0.87190000000000001</v>
      </c>
      <c r="K88" s="26"/>
      <c r="L88" s="26">
        <v>1.26E-2</v>
      </c>
      <c r="M88" s="26">
        <v>6.8999999999999999E-3</v>
      </c>
      <c r="N88" s="26">
        <v>3.6299999999999999E-2</v>
      </c>
      <c r="O88" s="26"/>
      <c r="P88" s="25">
        <v>2.36</v>
      </c>
      <c r="Q88" s="25">
        <v>2.36</v>
      </c>
      <c r="R88" s="25">
        <v>1.93</v>
      </c>
      <c r="S88" s="25">
        <v>1.93</v>
      </c>
      <c r="T88" s="36">
        <v>1.2536</v>
      </c>
      <c r="U88" s="28">
        <f t="shared" si="4"/>
        <v>2.9584959999999998</v>
      </c>
      <c r="V88" s="28">
        <f t="shared" si="7"/>
        <v>2.9584959999999998</v>
      </c>
      <c r="W88" s="28">
        <f t="shared" si="5"/>
        <v>2.419448</v>
      </c>
      <c r="X88" s="34">
        <f t="shared" si="6"/>
        <v>2.419448</v>
      </c>
    </row>
    <row r="89" spans="1:24" x14ac:dyDescent="0.25">
      <c r="A89" s="22">
        <v>72</v>
      </c>
      <c r="B89" s="23" t="s">
        <v>102</v>
      </c>
      <c r="C89" s="24">
        <v>0.43909999999999999</v>
      </c>
      <c r="D89" s="25">
        <v>0.46729999999999999</v>
      </c>
      <c r="E89" s="26">
        <v>0.36570000000000003</v>
      </c>
      <c r="F89" s="26"/>
      <c r="G89" s="26">
        <f>0.2098+0.0455+0.0373</f>
        <v>0.29259999999999997</v>
      </c>
      <c r="H89" s="26">
        <v>2.7000000000000001E-3</v>
      </c>
      <c r="I89" s="26">
        <v>1.35E-2</v>
      </c>
      <c r="J89" s="26">
        <v>0.7742</v>
      </c>
      <c r="K89" s="26"/>
      <c r="L89" s="26">
        <v>1.3899999999999999E-2</v>
      </c>
      <c r="M89" s="26">
        <v>6.7999999999999996E-3</v>
      </c>
      <c r="N89" s="26">
        <v>4.9099999999999998E-2</v>
      </c>
      <c r="O89" s="26"/>
      <c r="P89" s="25">
        <v>2.4300000000000002</v>
      </c>
      <c r="Q89" s="25">
        <v>2.4300000000000002</v>
      </c>
      <c r="R89" s="25">
        <v>1.96</v>
      </c>
      <c r="S89" s="25">
        <v>1.96</v>
      </c>
      <c r="T89" s="36">
        <v>1.3025</v>
      </c>
      <c r="U89" s="28">
        <f t="shared" si="4"/>
        <v>3.1650750000000003</v>
      </c>
      <c r="V89" s="28">
        <f t="shared" si="7"/>
        <v>3.1650750000000003</v>
      </c>
      <c r="W89" s="28">
        <f t="shared" si="5"/>
        <v>2.5528999999999997</v>
      </c>
      <c r="X89" s="34">
        <f t="shared" si="6"/>
        <v>2.5528999999999997</v>
      </c>
    </row>
    <row r="90" spans="1:24" x14ac:dyDescent="0.25">
      <c r="A90" s="29">
        <v>73</v>
      </c>
      <c r="B90" s="23" t="s">
        <v>103</v>
      </c>
      <c r="C90" s="24">
        <v>0.58520000000000005</v>
      </c>
      <c r="D90" s="25">
        <v>0.46829999999999999</v>
      </c>
      <c r="E90" s="26">
        <v>0.21299999999999999</v>
      </c>
      <c r="F90" s="26"/>
      <c r="G90" s="26">
        <f>0.2102+0.0455+0.0374</f>
        <v>0.29309999999999997</v>
      </c>
      <c r="H90" s="26">
        <v>2.7000000000000001E-3</v>
      </c>
      <c r="I90" s="26">
        <v>1.35E-2</v>
      </c>
      <c r="J90" s="26">
        <v>0.749</v>
      </c>
      <c r="K90" s="26"/>
      <c r="L90" s="26">
        <v>1.4E-2</v>
      </c>
      <c r="M90" s="26">
        <v>6.7999999999999996E-3</v>
      </c>
      <c r="N90" s="26">
        <v>4.2999999999999997E-2</v>
      </c>
      <c r="O90" s="26"/>
      <c r="P90" s="25">
        <v>2.39</v>
      </c>
      <c r="Q90" s="25">
        <v>2.39</v>
      </c>
      <c r="R90" s="25">
        <v>1.92</v>
      </c>
      <c r="S90" s="25">
        <v>1.92</v>
      </c>
      <c r="T90" s="36">
        <v>1.2586999999999999</v>
      </c>
      <c r="U90" s="28">
        <f t="shared" si="4"/>
        <v>3.0082930000000001</v>
      </c>
      <c r="V90" s="28">
        <f t="shared" si="7"/>
        <v>3.0082930000000001</v>
      </c>
      <c r="W90" s="28">
        <f t="shared" si="5"/>
        <v>2.4167039999999997</v>
      </c>
      <c r="X90" s="34">
        <f t="shared" si="6"/>
        <v>2.4167039999999997</v>
      </c>
    </row>
    <row r="91" spans="1:24" x14ac:dyDescent="0.25">
      <c r="A91" s="22">
        <v>74</v>
      </c>
      <c r="B91" s="23" t="s">
        <v>104</v>
      </c>
      <c r="C91" s="24">
        <v>0.37669999999999998</v>
      </c>
      <c r="D91" s="25">
        <v>0.44019999999999998</v>
      </c>
      <c r="E91" s="26">
        <v>0.33</v>
      </c>
      <c r="F91" s="26"/>
      <c r="G91" s="26">
        <f>0.195+0.0453+0.0373</f>
        <v>0.27760000000000001</v>
      </c>
      <c r="H91" s="26">
        <v>2.7000000000000001E-3</v>
      </c>
      <c r="I91" s="26">
        <v>1.3299999999999999E-2</v>
      </c>
      <c r="J91" s="26">
        <v>0.78259999999999996</v>
      </c>
      <c r="K91" s="26"/>
      <c r="L91" s="26">
        <v>1.2800000000000001E-2</v>
      </c>
      <c r="M91" s="26">
        <v>6.7000000000000002E-3</v>
      </c>
      <c r="N91" s="26">
        <v>4.5900000000000003E-2</v>
      </c>
      <c r="O91" s="26"/>
      <c r="P91" s="25">
        <v>2.29</v>
      </c>
      <c r="Q91" s="25">
        <v>2.29</v>
      </c>
      <c r="R91" s="25">
        <v>1.85</v>
      </c>
      <c r="S91" s="25">
        <v>1.85</v>
      </c>
      <c r="T91" s="36">
        <v>1.3210999999999999</v>
      </c>
      <c r="U91" s="28">
        <f t="shared" si="4"/>
        <v>3.0253190000000001</v>
      </c>
      <c r="V91" s="28">
        <f t="shared" si="7"/>
        <v>3.0253190000000001</v>
      </c>
      <c r="W91" s="28">
        <f t="shared" si="5"/>
        <v>2.444035</v>
      </c>
      <c r="X91" s="34">
        <f t="shared" si="6"/>
        <v>2.444035</v>
      </c>
    </row>
    <row r="92" spans="1:24" x14ac:dyDescent="0.25">
      <c r="A92" s="22">
        <v>75</v>
      </c>
      <c r="B92" s="23" t="s">
        <v>105</v>
      </c>
      <c r="C92" s="24">
        <v>0.34710000000000002</v>
      </c>
      <c r="D92" s="25">
        <v>0.42309999999999998</v>
      </c>
      <c r="E92" s="26">
        <v>0.28839999999999999</v>
      </c>
      <c r="F92" s="26"/>
      <c r="G92" s="26">
        <f>0.1956+0.0451+0.0366</f>
        <v>0.27729999999999999</v>
      </c>
      <c r="H92" s="26">
        <v>2.5000000000000001E-3</v>
      </c>
      <c r="I92" s="26">
        <v>1.26E-2</v>
      </c>
      <c r="J92" s="26">
        <v>0.9385</v>
      </c>
      <c r="K92" s="26"/>
      <c r="L92" s="26">
        <v>1.2800000000000001E-2</v>
      </c>
      <c r="M92" s="26">
        <v>6.4000000000000003E-3</v>
      </c>
      <c r="N92" s="26">
        <v>3.7600000000000001E-2</v>
      </c>
      <c r="O92" s="26"/>
      <c r="P92" s="25">
        <v>2.34</v>
      </c>
      <c r="Q92" s="25">
        <v>2.34</v>
      </c>
      <c r="R92" s="25">
        <v>1.92</v>
      </c>
      <c r="S92" s="25">
        <v>1.92</v>
      </c>
      <c r="T92" s="36">
        <v>1.2842</v>
      </c>
      <c r="U92" s="28">
        <f t="shared" si="4"/>
        <v>3.0050279999999998</v>
      </c>
      <c r="V92" s="28">
        <f t="shared" si="7"/>
        <v>3.0050279999999998</v>
      </c>
      <c r="W92" s="28">
        <f t="shared" si="5"/>
        <v>2.4656639999999999</v>
      </c>
      <c r="X92" s="34">
        <f t="shared" si="6"/>
        <v>2.4656639999999999</v>
      </c>
    </row>
    <row r="93" spans="1:24" x14ac:dyDescent="0.25">
      <c r="A93" s="29">
        <v>76</v>
      </c>
      <c r="B93" s="23" t="s">
        <v>106</v>
      </c>
      <c r="C93" s="24">
        <v>0.27039999999999997</v>
      </c>
      <c r="D93" s="25">
        <v>0.43330000000000002</v>
      </c>
      <c r="E93" s="26">
        <v>0.30909999999999999</v>
      </c>
      <c r="F93" s="26">
        <v>0.36409999999999998</v>
      </c>
      <c r="G93" s="26">
        <f>0.1933+0.0448+0.0364</f>
        <v>0.27450000000000002</v>
      </c>
      <c r="H93" s="26">
        <v>1.4E-3</v>
      </c>
      <c r="I93" s="26">
        <v>6.8999999999999999E-3</v>
      </c>
      <c r="J93" s="26">
        <v>0.73199999999999998</v>
      </c>
      <c r="K93" s="26">
        <v>6.8400000000000002E-2</v>
      </c>
      <c r="L93" s="26">
        <v>1.2800000000000001E-2</v>
      </c>
      <c r="M93" s="26">
        <v>3.5000000000000001E-3</v>
      </c>
      <c r="N93" s="26">
        <v>3.9199999999999999E-2</v>
      </c>
      <c r="O93" s="26">
        <v>4.9799999999999997E-2</v>
      </c>
      <c r="P93" s="25">
        <v>2.57</v>
      </c>
      <c r="Q93" s="25">
        <v>2.08</v>
      </c>
      <c r="R93" s="25">
        <v>2.13</v>
      </c>
      <c r="S93" s="25">
        <v>1.65</v>
      </c>
      <c r="T93" s="36">
        <v>1.3145</v>
      </c>
      <c r="U93" s="28">
        <v>3.37</v>
      </c>
      <c r="V93" s="28">
        <f t="shared" si="7"/>
        <v>2.7341600000000001</v>
      </c>
      <c r="W93" s="28">
        <f t="shared" si="5"/>
        <v>2.7998849999999997</v>
      </c>
      <c r="X93" s="34">
        <f t="shared" si="6"/>
        <v>2.1689249999999998</v>
      </c>
    </row>
    <row r="94" spans="1:24" x14ac:dyDescent="0.25">
      <c r="A94" s="22">
        <v>77</v>
      </c>
      <c r="B94" s="23" t="s">
        <v>107</v>
      </c>
      <c r="C94" s="24">
        <v>0.1525</v>
      </c>
      <c r="D94" s="25">
        <v>0.65090000000000003</v>
      </c>
      <c r="E94" s="26">
        <v>0.24260000000000001</v>
      </c>
      <c r="F94" s="26">
        <v>0.55510000000000004</v>
      </c>
      <c r="G94" s="26">
        <f>0.1316+0.0362+0.0296</f>
        <v>0.19740000000000002</v>
      </c>
      <c r="H94" s="26">
        <v>1.5E-3</v>
      </c>
      <c r="I94" s="26">
        <v>7.4999999999999997E-3</v>
      </c>
      <c r="J94" s="26">
        <v>1.0066999999999999</v>
      </c>
      <c r="K94" s="26">
        <v>6.8400000000000002E-2</v>
      </c>
      <c r="L94" s="26">
        <v>1.12E-2</v>
      </c>
      <c r="M94" s="26">
        <v>4.7999999999999996E-3</v>
      </c>
      <c r="N94" s="26">
        <v>0.1066</v>
      </c>
      <c r="O94" s="26">
        <v>6.0999999999999999E-2</v>
      </c>
      <c r="P94" s="25">
        <v>3.07</v>
      </c>
      <c r="Q94" s="25">
        <v>2.38</v>
      </c>
      <c r="R94" s="25">
        <v>2.42</v>
      </c>
      <c r="S94" s="25">
        <v>1.73</v>
      </c>
      <c r="T94" s="36">
        <v>1.3371</v>
      </c>
      <c r="U94" s="28">
        <f t="shared" si="4"/>
        <v>4.1048969999999994</v>
      </c>
      <c r="V94" s="28">
        <f t="shared" si="7"/>
        <v>3.1822979999999998</v>
      </c>
      <c r="W94" s="28">
        <f t="shared" si="5"/>
        <v>3.2357819999999999</v>
      </c>
      <c r="X94" s="34">
        <f t="shared" si="6"/>
        <v>2.313183</v>
      </c>
    </row>
    <row r="95" spans="1:24" x14ac:dyDescent="0.25">
      <c r="A95" s="22">
        <v>78</v>
      </c>
      <c r="B95" s="40" t="s">
        <v>108</v>
      </c>
      <c r="C95" s="41">
        <v>0.26469999999999999</v>
      </c>
      <c r="D95" s="42">
        <v>0.65749999999999997</v>
      </c>
      <c r="E95" s="43">
        <v>0.34560000000000002</v>
      </c>
      <c r="F95" s="43">
        <v>0.49819999999999998</v>
      </c>
      <c r="G95" s="43">
        <f>0.1764+0.0452+0.0371</f>
        <v>0.25869999999999999</v>
      </c>
      <c r="H95" s="43">
        <v>1.5E-3</v>
      </c>
      <c r="I95" s="43">
        <v>7.7000000000000002E-3</v>
      </c>
      <c r="J95" s="43">
        <v>0.87360000000000004</v>
      </c>
      <c r="K95" s="43">
        <v>6.8400000000000002E-2</v>
      </c>
      <c r="L95" s="43">
        <v>1.17E-2</v>
      </c>
      <c r="M95" s="43">
        <v>3.8999999999999998E-3</v>
      </c>
      <c r="N95" s="43">
        <v>0.10100000000000001</v>
      </c>
      <c r="O95" s="43">
        <v>5.9900000000000002E-2</v>
      </c>
      <c r="P95" s="42">
        <v>3.15</v>
      </c>
      <c r="Q95" s="42">
        <v>2.5299999999999998</v>
      </c>
      <c r="R95" s="42">
        <v>2.4900000000000002</v>
      </c>
      <c r="S95" s="42">
        <v>1.87</v>
      </c>
      <c r="T95" s="44">
        <v>1.3906000000000001</v>
      </c>
      <c r="U95" s="45">
        <f t="shared" si="4"/>
        <v>4.3803900000000002</v>
      </c>
      <c r="V95" s="45">
        <v>3.51</v>
      </c>
      <c r="W95" s="45">
        <v>3.47</v>
      </c>
      <c r="X95" s="46">
        <f t="shared" si="6"/>
        <v>2.6004220000000005</v>
      </c>
    </row>
    <row r="96" spans="1:24" x14ac:dyDescent="0.25">
      <c r="A96" s="29">
        <v>79</v>
      </c>
      <c r="B96" s="40" t="s">
        <v>109</v>
      </c>
      <c r="C96" s="41">
        <v>0.28870000000000001</v>
      </c>
      <c r="D96" s="42">
        <v>0.60119999999999996</v>
      </c>
      <c r="E96" s="43">
        <v>0.27739999999999998</v>
      </c>
      <c r="F96" s="43">
        <v>0.40450000000000003</v>
      </c>
      <c r="G96" s="43">
        <f>0.1596+0.042+0.0336</f>
        <v>0.23519999999999999</v>
      </c>
      <c r="H96" s="43">
        <v>1.4E-3</v>
      </c>
      <c r="I96" s="43">
        <v>7.0000000000000001E-3</v>
      </c>
      <c r="J96" s="43">
        <v>0.98719999999999997</v>
      </c>
      <c r="K96" s="43">
        <v>6.8400000000000002E-2</v>
      </c>
      <c r="L96" s="43">
        <v>1.09E-2</v>
      </c>
      <c r="M96" s="43">
        <v>3.5000000000000001E-3</v>
      </c>
      <c r="N96" s="43">
        <v>3.5799999999999998E-2</v>
      </c>
      <c r="O96" s="43">
        <v>4.3099999999999999E-2</v>
      </c>
      <c r="P96" s="42">
        <v>2.96</v>
      </c>
      <c r="Q96" s="42">
        <v>2.4500000000000002</v>
      </c>
      <c r="R96" s="42">
        <v>2.36</v>
      </c>
      <c r="S96" s="42">
        <v>1.85</v>
      </c>
      <c r="T96" s="44">
        <v>1.2896000000000001</v>
      </c>
      <c r="U96" s="45">
        <f t="shared" si="4"/>
        <v>3.8172160000000002</v>
      </c>
      <c r="V96" s="45">
        <f t="shared" si="7"/>
        <v>3.1595200000000006</v>
      </c>
      <c r="W96" s="45">
        <v>3.05</v>
      </c>
      <c r="X96" s="46">
        <v>2.38</v>
      </c>
    </row>
    <row r="97" spans="1:24" x14ac:dyDescent="0.25">
      <c r="A97" s="22">
        <v>80</v>
      </c>
      <c r="B97" s="23" t="s">
        <v>110</v>
      </c>
      <c r="C97" s="24">
        <v>0.29039999999999999</v>
      </c>
      <c r="D97" s="25">
        <v>0.56950000000000001</v>
      </c>
      <c r="E97" s="26">
        <v>0.2666</v>
      </c>
      <c r="F97" s="26">
        <v>0.4929</v>
      </c>
      <c r="G97" s="26">
        <f>0.1544+0.0432+0.0352</f>
        <v>0.23280000000000001</v>
      </c>
      <c r="H97" s="26">
        <v>1.4E-3</v>
      </c>
      <c r="I97" s="26">
        <v>7.1000000000000004E-3</v>
      </c>
      <c r="J97" s="26">
        <v>0.96799999999999997</v>
      </c>
      <c r="K97" s="26">
        <v>6.8400000000000002E-2</v>
      </c>
      <c r="L97" s="26">
        <v>1.11E-2</v>
      </c>
      <c r="M97" s="26">
        <v>3.8E-3</v>
      </c>
      <c r="N97" s="26">
        <v>2.5899999999999999E-2</v>
      </c>
      <c r="O97" s="26">
        <v>4.4699999999999997E-2</v>
      </c>
      <c r="P97" s="25">
        <v>2.98</v>
      </c>
      <c r="Q97" s="25">
        <v>2.38</v>
      </c>
      <c r="R97" s="25">
        <v>2.41</v>
      </c>
      <c r="S97" s="25">
        <v>1.81</v>
      </c>
      <c r="T97" s="36">
        <v>1.2690999999999999</v>
      </c>
      <c r="U97" s="28">
        <v>3.798</v>
      </c>
      <c r="V97" s="28">
        <v>3.02</v>
      </c>
      <c r="W97" s="28">
        <f t="shared" si="5"/>
        <v>3.0585309999999999</v>
      </c>
      <c r="X97" s="34">
        <f t="shared" si="6"/>
        <v>2.2970709999999999</v>
      </c>
    </row>
    <row r="98" spans="1:24" x14ac:dyDescent="0.25">
      <c r="A98" s="22">
        <v>81</v>
      </c>
      <c r="B98" s="23" t="s">
        <v>111</v>
      </c>
      <c r="C98" s="24">
        <v>0.38319999999999999</v>
      </c>
      <c r="D98" s="25">
        <v>0.55379999999999996</v>
      </c>
      <c r="E98" s="26">
        <v>0.2853</v>
      </c>
      <c r="F98" s="26">
        <v>0.47149999999999997</v>
      </c>
      <c r="G98" s="26">
        <f>0.1573+0.0424+0.0351</f>
        <v>0.23479999999999998</v>
      </c>
      <c r="H98" s="26">
        <v>1.4E-3</v>
      </c>
      <c r="I98" s="26">
        <v>6.8999999999999999E-3</v>
      </c>
      <c r="J98" s="26">
        <v>0.88629999999999998</v>
      </c>
      <c r="K98" s="26">
        <v>6.8400000000000002E-2</v>
      </c>
      <c r="L98" s="26">
        <v>1.09E-2</v>
      </c>
      <c r="M98" s="26">
        <v>3.7000000000000002E-3</v>
      </c>
      <c r="N98" s="26">
        <v>3.2599999999999997E-2</v>
      </c>
      <c r="O98" s="26">
        <v>7.5999999999999998E-2</v>
      </c>
      <c r="P98" s="25">
        <v>3.01</v>
      </c>
      <c r="Q98" s="28">
        <v>2.4</v>
      </c>
      <c r="R98" s="28">
        <v>2.46</v>
      </c>
      <c r="S98" s="28">
        <v>1.84</v>
      </c>
      <c r="T98" s="36">
        <v>1.292</v>
      </c>
      <c r="U98" s="28">
        <v>3.9</v>
      </c>
      <c r="V98" s="28">
        <f t="shared" si="7"/>
        <v>3.1008</v>
      </c>
      <c r="W98" s="28">
        <f t="shared" si="5"/>
        <v>3.1783200000000003</v>
      </c>
      <c r="X98" s="34">
        <f t="shared" si="6"/>
        <v>2.3772800000000003</v>
      </c>
    </row>
    <row r="99" spans="1:24" x14ac:dyDescent="0.25">
      <c r="A99" s="29">
        <v>82</v>
      </c>
      <c r="B99" s="23" t="s">
        <v>112</v>
      </c>
      <c r="C99" s="24">
        <v>0.26779999999999998</v>
      </c>
      <c r="D99" s="25">
        <v>0.58260000000000001</v>
      </c>
      <c r="E99" s="26">
        <v>0.27710000000000001</v>
      </c>
      <c r="F99" s="26">
        <v>0.46810000000000002</v>
      </c>
      <c r="G99" s="26">
        <f>0.1404+0.0398+0.0327</f>
        <v>0.21290000000000001</v>
      </c>
      <c r="H99" s="26">
        <v>1.5E-3</v>
      </c>
      <c r="I99" s="26">
        <v>7.4000000000000003E-3</v>
      </c>
      <c r="J99" s="26">
        <v>0.96260000000000001</v>
      </c>
      <c r="K99" s="26">
        <v>6.8400000000000002E-2</v>
      </c>
      <c r="L99" s="26">
        <v>1.0699999999999999E-2</v>
      </c>
      <c r="M99" s="26">
        <v>4.3E-3</v>
      </c>
      <c r="N99" s="26">
        <v>3.5999999999999997E-2</v>
      </c>
      <c r="O99" s="26">
        <v>0.1328</v>
      </c>
      <c r="P99" s="25">
        <v>3.03</v>
      </c>
      <c r="Q99" s="25">
        <v>2.36</v>
      </c>
      <c r="R99" s="25">
        <v>2.4500000000000002</v>
      </c>
      <c r="S99" s="25">
        <v>1.78</v>
      </c>
      <c r="T99" s="36">
        <v>1.367</v>
      </c>
      <c r="U99" s="28">
        <f t="shared" ref="U99:U160" si="8">P99*T99</f>
        <v>4.14201</v>
      </c>
      <c r="V99" s="28">
        <f t="shared" si="7"/>
        <v>3.2261199999999999</v>
      </c>
      <c r="W99" s="28">
        <f t="shared" si="5"/>
        <v>3.3491500000000003</v>
      </c>
      <c r="X99" s="34">
        <f t="shared" si="6"/>
        <v>2.4332600000000002</v>
      </c>
    </row>
    <row r="100" spans="1:24" x14ac:dyDescent="0.25">
      <c r="A100" s="22">
        <v>83</v>
      </c>
      <c r="B100" s="23" t="s">
        <v>113</v>
      </c>
      <c r="C100" s="30">
        <v>0.249</v>
      </c>
      <c r="D100" s="25">
        <v>0.65539999999999998</v>
      </c>
      <c r="E100" s="26">
        <v>0.27829999999999999</v>
      </c>
      <c r="F100" s="26">
        <v>0.6472</v>
      </c>
      <c r="G100" s="26">
        <f>0.1523+0.0427+0.0346</f>
        <v>0.2296</v>
      </c>
      <c r="H100" s="26">
        <v>8.9999999999999998E-4</v>
      </c>
      <c r="I100" s="26">
        <v>4.3E-3</v>
      </c>
      <c r="J100" s="26">
        <v>0.86180000000000001</v>
      </c>
      <c r="K100" s="26">
        <v>6.8400000000000002E-2</v>
      </c>
      <c r="L100" s="26">
        <v>1.0800000000000001E-2</v>
      </c>
      <c r="M100" s="26">
        <v>2.3E-3</v>
      </c>
      <c r="N100" s="26">
        <v>5.6599999999999998E-2</v>
      </c>
      <c r="O100" s="26">
        <v>6.3899999999999998E-2</v>
      </c>
      <c r="P100" s="25">
        <v>3.13</v>
      </c>
      <c r="Q100" s="25">
        <v>2.35</v>
      </c>
      <c r="R100" s="25">
        <v>2.4700000000000002</v>
      </c>
      <c r="S100" s="25">
        <v>1.69</v>
      </c>
      <c r="T100" s="36">
        <v>1.2881</v>
      </c>
      <c r="U100" s="28">
        <f t="shared" si="8"/>
        <v>4.0317530000000001</v>
      </c>
      <c r="V100" s="28">
        <f t="shared" si="7"/>
        <v>3.0270350000000001</v>
      </c>
      <c r="W100" s="28">
        <v>3.19</v>
      </c>
      <c r="X100" s="34">
        <f t="shared" si="6"/>
        <v>2.1768890000000001</v>
      </c>
    </row>
    <row r="101" spans="1:24" x14ac:dyDescent="0.25">
      <c r="A101" s="22">
        <v>84</v>
      </c>
      <c r="B101" s="23" t="s">
        <v>114</v>
      </c>
      <c r="C101" s="24">
        <v>0.26390000000000002</v>
      </c>
      <c r="D101" s="25">
        <v>0.66859999999999997</v>
      </c>
      <c r="E101" s="26">
        <v>0.27229999999999999</v>
      </c>
      <c r="F101" s="26">
        <v>0.41649999999999998</v>
      </c>
      <c r="G101" s="26">
        <f>0.1518+0.0453+0.0368</f>
        <v>0.2339</v>
      </c>
      <c r="H101" s="26">
        <v>5.9999999999999995E-4</v>
      </c>
      <c r="I101" s="26">
        <v>3.0999999999999999E-3</v>
      </c>
      <c r="J101" s="26">
        <v>0.90910000000000002</v>
      </c>
      <c r="K101" s="26">
        <v>6.8400000000000002E-2</v>
      </c>
      <c r="L101" s="26">
        <v>1.01E-2</v>
      </c>
      <c r="M101" s="26">
        <v>1.6000000000000001E-3</v>
      </c>
      <c r="N101" s="26">
        <v>3.6999999999999998E-2</v>
      </c>
      <c r="O101" s="26">
        <v>5.9900000000000002E-2</v>
      </c>
      <c r="P101" s="25">
        <v>2.94</v>
      </c>
      <c r="Q101" s="28">
        <v>2.4</v>
      </c>
      <c r="R101" s="28">
        <v>2.2799999999999998</v>
      </c>
      <c r="S101" s="28">
        <v>1.73</v>
      </c>
      <c r="T101" s="36">
        <v>1.3058000000000001</v>
      </c>
      <c r="U101" s="28">
        <v>3.85</v>
      </c>
      <c r="V101" s="28">
        <f t="shared" si="7"/>
        <v>3.1339200000000003</v>
      </c>
      <c r="W101" s="28">
        <f t="shared" si="5"/>
        <v>2.9772240000000001</v>
      </c>
      <c r="X101" s="34">
        <f t="shared" si="6"/>
        <v>2.2590340000000002</v>
      </c>
    </row>
    <row r="102" spans="1:24" x14ac:dyDescent="0.25">
      <c r="A102" s="29">
        <v>85</v>
      </c>
      <c r="B102" s="23" t="s">
        <v>115</v>
      </c>
      <c r="C102" s="24">
        <v>0.20780000000000001</v>
      </c>
      <c r="D102" s="25">
        <v>0.49359999999999998</v>
      </c>
      <c r="E102" s="26">
        <v>0.317</v>
      </c>
      <c r="F102" s="26">
        <v>0.55989999999999995</v>
      </c>
      <c r="G102" s="26">
        <f>0.1471+0.0421+0.0342</f>
        <v>0.22340000000000002</v>
      </c>
      <c r="H102" s="26">
        <v>1.4E-3</v>
      </c>
      <c r="I102" s="26">
        <v>6.7999999999999996E-3</v>
      </c>
      <c r="J102" s="26">
        <v>0.80789999999999995</v>
      </c>
      <c r="K102" s="26">
        <v>6.8400000000000002E-2</v>
      </c>
      <c r="L102" s="26">
        <v>1.0699999999999999E-2</v>
      </c>
      <c r="M102" s="26">
        <v>3.8E-3</v>
      </c>
      <c r="N102" s="26">
        <v>3.9300000000000002E-2</v>
      </c>
      <c r="O102" s="26">
        <v>9.6100000000000005E-2</v>
      </c>
      <c r="P102" s="25">
        <v>2.84</v>
      </c>
      <c r="Q102" s="25">
        <v>2.11</v>
      </c>
      <c r="R102" s="25">
        <v>2.34</v>
      </c>
      <c r="S102" s="25">
        <v>1.62</v>
      </c>
      <c r="T102" s="36">
        <v>1.3405</v>
      </c>
      <c r="U102" s="28">
        <v>3.8</v>
      </c>
      <c r="V102" s="28">
        <f t="shared" si="7"/>
        <v>2.8284549999999999</v>
      </c>
      <c r="W102" s="28">
        <f t="shared" si="5"/>
        <v>3.1367699999999998</v>
      </c>
      <c r="X102" s="34">
        <f t="shared" si="6"/>
        <v>2.1716100000000003</v>
      </c>
    </row>
    <row r="103" spans="1:24" x14ac:dyDescent="0.25">
      <c r="A103" s="22">
        <v>86</v>
      </c>
      <c r="B103" s="23" t="s">
        <v>116</v>
      </c>
      <c r="C103" s="24">
        <v>0.19850000000000001</v>
      </c>
      <c r="D103" s="25">
        <v>0.69820000000000004</v>
      </c>
      <c r="E103" s="26">
        <v>0.33150000000000002</v>
      </c>
      <c r="F103" s="26">
        <v>0.63870000000000005</v>
      </c>
      <c r="G103" s="26">
        <f>0.1778+0.0445+0.0376</f>
        <v>0.25990000000000002</v>
      </c>
      <c r="H103" s="26">
        <v>1.9E-3</v>
      </c>
      <c r="I103" s="26">
        <v>1.9E-3</v>
      </c>
      <c r="J103" s="26">
        <v>0.76139999999999997</v>
      </c>
      <c r="K103" s="26">
        <v>6.8400000000000002E-2</v>
      </c>
      <c r="L103" s="26">
        <v>1.1599999999999999E-2</v>
      </c>
      <c r="M103" s="26">
        <v>4.7999999999999996E-3</v>
      </c>
      <c r="N103" s="26">
        <v>3.7199999999999997E-2</v>
      </c>
      <c r="O103" s="26">
        <v>7.0099999999999996E-2</v>
      </c>
      <c r="P103" s="25">
        <v>3.08</v>
      </c>
      <c r="Q103" s="25">
        <v>2.31</v>
      </c>
      <c r="R103" s="25">
        <v>2.39</v>
      </c>
      <c r="S103" s="25">
        <v>1.61</v>
      </c>
      <c r="T103" s="36">
        <v>1.3445</v>
      </c>
      <c r="U103" s="28">
        <f t="shared" si="8"/>
        <v>4.1410600000000004</v>
      </c>
      <c r="V103" s="28">
        <f t="shared" si="7"/>
        <v>3.1057950000000001</v>
      </c>
      <c r="W103" s="28">
        <f t="shared" si="5"/>
        <v>3.2133550000000004</v>
      </c>
      <c r="X103" s="34">
        <f t="shared" si="6"/>
        <v>2.1646450000000002</v>
      </c>
    </row>
    <row r="104" spans="1:24" x14ac:dyDescent="0.25">
      <c r="A104" s="39">
        <v>87</v>
      </c>
      <c r="B104" s="40" t="s">
        <v>117</v>
      </c>
      <c r="C104" s="41">
        <v>0.2419</v>
      </c>
      <c r="D104" s="47">
        <v>0.52400000000000002</v>
      </c>
      <c r="E104" s="43">
        <v>0.35449999999999998</v>
      </c>
      <c r="F104" s="43"/>
      <c r="G104" s="43">
        <f>0.1948+0.044+0.0364</f>
        <v>0.2752</v>
      </c>
      <c r="H104" s="43">
        <v>2.7000000000000001E-3</v>
      </c>
      <c r="I104" s="43">
        <v>1.34E-2</v>
      </c>
      <c r="J104" s="43">
        <v>0.95030000000000003</v>
      </c>
      <c r="K104" s="43"/>
      <c r="L104" s="43">
        <v>1.2999999999999999E-2</v>
      </c>
      <c r="M104" s="43">
        <v>7.0000000000000001E-3</v>
      </c>
      <c r="N104" s="43">
        <v>3.6700000000000003E-2</v>
      </c>
      <c r="O104" s="43"/>
      <c r="P104" s="45">
        <v>2.42</v>
      </c>
      <c r="Q104" s="42">
        <v>2.42</v>
      </c>
      <c r="R104" s="42">
        <v>1.89</v>
      </c>
      <c r="S104" s="42">
        <v>1.89</v>
      </c>
      <c r="T104" s="49">
        <v>1.304</v>
      </c>
      <c r="U104" s="45">
        <v>3.15</v>
      </c>
      <c r="V104" s="45">
        <v>3.15</v>
      </c>
      <c r="W104" s="45">
        <v>2.4700000000000002</v>
      </c>
      <c r="X104" s="46">
        <v>2.4700000000000002</v>
      </c>
    </row>
    <row r="105" spans="1:24" x14ac:dyDescent="0.25">
      <c r="A105" s="29">
        <v>88</v>
      </c>
      <c r="B105" s="23" t="s">
        <v>118</v>
      </c>
      <c r="C105" s="24">
        <v>0.34089999999999998</v>
      </c>
      <c r="D105" s="31">
        <v>0.52800000000000002</v>
      </c>
      <c r="E105" s="26">
        <v>0.30609999999999998</v>
      </c>
      <c r="F105" s="26"/>
      <c r="G105" s="26">
        <f>0.1998+0.0457+0.0355</f>
        <v>0.28099999999999997</v>
      </c>
      <c r="H105" s="26">
        <v>3.2000000000000002E-3</v>
      </c>
      <c r="I105" s="26">
        <v>1.6199999999999999E-2</v>
      </c>
      <c r="J105" s="26">
        <v>0.82889999999999997</v>
      </c>
      <c r="K105" s="26"/>
      <c r="L105" s="26">
        <v>1.4E-2</v>
      </c>
      <c r="M105" s="26">
        <v>8.0999999999999996E-3</v>
      </c>
      <c r="N105" s="26">
        <v>5.3400000000000003E-2</v>
      </c>
      <c r="O105" s="26"/>
      <c r="P105" s="28">
        <v>2.38</v>
      </c>
      <c r="Q105" s="25">
        <v>2.38</v>
      </c>
      <c r="R105" s="25">
        <v>1.85</v>
      </c>
      <c r="S105" s="25">
        <v>1.85</v>
      </c>
      <c r="T105" s="35">
        <v>1.3149999999999999</v>
      </c>
      <c r="U105" s="28">
        <f t="shared" si="8"/>
        <v>3.1296999999999997</v>
      </c>
      <c r="V105" s="28">
        <f t="shared" si="7"/>
        <v>3.1296999999999997</v>
      </c>
      <c r="W105" s="28">
        <v>2.44</v>
      </c>
      <c r="X105" s="34">
        <v>2.44</v>
      </c>
    </row>
    <row r="106" spans="1:24" x14ac:dyDescent="0.25">
      <c r="A106" s="22">
        <v>89</v>
      </c>
      <c r="B106" s="23" t="s">
        <v>119</v>
      </c>
      <c r="C106" s="24">
        <v>0.25740000000000002</v>
      </c>
      <c r="D106" s="25">
        <v>0.54949999999999999</v>
      </c>
      <c r="E106" s="26">
        <v>0.378</v>
      </c>
      <c r="F106" s="26"/>
      <c r="G106" s="26">
        <f>0.2107+0.0457+0.0375</f>
        <v>0.29389999999999999</v>
      </c>
      <c r="H106" s="26">
        <v>3.2000000000000002E-3</v>
      </c>
      <c r="I106" s="26">
        <v>1.6199999999999999E-2</v>
      </c>
      <c r="J106" s="26">
        <v>0.89839999999999998</v>
      </c>
      <c r="K106" s="26"/>
      <c r="L106" s="26">
        <v>1.5299999999999999E-2</v>
      </c>
      <c r="M106" s="26">
        <v>8.2000000000000007E-3</v>
      </c>
      <c r="N106" s="26">
        <v>3.9600000000000003E-2</v>
      </c>
      <c r="O106" s="26"/>
      <c r="P106" s="28">
        <v>2.46</v>
      </c>
      <c r="Q106" s="25">
        <v>2.46</v>
      </c>
      <c r="R106" s="25">
        <v>1.91</v>
      </c>
      <c r="S106" s="25">
        <v>1.91</v>
      </c>
      <c r="T106" s="35">
        <v>1.3375999999999999</v>
      </c>
      <c r="U106" s="28">
        <f t="shared" si="8"/>
        <v>3.2904959999999996</v>
      </c>
      <c r="V106" s="28">
        <f t="shared" si="7"/>
        <v>3.2904959999999996</v>
      </c>
      <c r="W106" s="28">
        <f t="shared" si="5"/>
        <v>2.5548159999999998</v>
      </c>
      <c r="X106" s="34">
        <f t="shared" si="6"/>
        <v>2.5548159999999998</v>
      </c>
    </row>
    <row r="107" spans="1:24" x14ac:dyDescent="0.25">
      <c r="A107" s="22">
        <v>90</v>
      </c>
      <c r="B107" s="23" t="s">
        <v>120</v>
      </c>
      <c r="C107" s="24">
        <v>0.26640000000000003</v>
      </c>
      <c r="D107" s="25">
        <v>1.0034000000000001</v>
      </c>
      <c r="E107" s="26">
        <v>0.33629999999999999</v>
      </c>
      <c r="F107" s="26">
        <v>0.4884</v>
      </c>
      <c r="G107" s="26">
        <f>0.1529+0.0459+0.0369</f>
        <v>0.23570000000000002</v>
      </c>
      <c r="H107" s="26">
        <v>1.2999999999999999E-3</v>
      </c>
      <c r="I107" s="26">
        <v>6.4999999999999997E-3</v>
      </c>
      <c r="J107" s="26">
        <v>0.85429999999999995</v>
      </c>
      <c r="K107" s="26">
        <v>6.8400000000000002E-2</v>
      </c>
      <c r="L107" s="26">
        <v>1.52E-2</v>
      </c>
      <c r="M107" s="26">
        <v>3.3E-3</v>
      </c>
      <c r="N107" s="26">
        <v>0.1099</v>
      </c>
      <c r="O107" s="26">
        <v>8.9099999999999999E-2</v>
      </c>
      <c r="P107" s="28">
        <v>3.48</v>
      </c>
      <c r="Q107" s="28">
        <v>2.83</v>
      </c>
      <c r="R107" s="28">
        <v>2.4700000000000002</v>
      </c>
      <c r="S107" s="28">
        <v>1.83</v>
      </c>
      <c r="T107" s="36">
        <v>1.4559</v>
      </c>
      <c r="U107" s="28">
        <v>5.0599999999999996</v>
      </c>
      <c r="V107" s="28">
        <f t="shared" si="7"/>
        <v>4.1201970000000001</v>
      </c>
      <c r="W107" s="28">
        <f t="shared" si="5"/>
        <v>3.5960730000000001</v>
      </c>
      <c r="X107" s="34">
        <f t="shared" si="6"/>
        <v>2.6642969999999999</v>
      </c>
    </row>
    <row r="108" spans="1:24" x14ac:dyDescent="0.25">
      <c r="A108" s="29">
        <v>91</v>
      </c>
      <c r="B108" s="23" t="s">
        <v>121</v>
      </c>
      <c r="C108" s="24">
        <v>0.50329999999999997</v>
      </c>
      <c r="D108" s="25">
        <v>0.42880000000000001</v>
      </c>
      <c r="E108" s="26">
        <v>0.3261</v>
      </c>
      <c r="F108" s="26"/>
      <c r="G108" s="26">
        <f>0.2052+0.0461+0.0365</f>
        <v>0.28779999999999994</v>
      </c>
      <c r="H108" s="26">
        <v>2.5000000000000001E-3</v>
      </c>
      <c r="I108" s="26">
        <v>1.2699999999999999E-2</v>
      </c>
      <c r="J108" s="26">
        <v>0.74719999999999998</v>
      </c>
      <c r="K108" s="26"/>
      <c r="L108" s="26">
        <v>1.38E-2</v>
      </c>
      <c r="M108" s="26">
        <v>6.4000000000000003E-3</v>
      </c>
      <c r="N108" s="26">
        <v>6.8999999999999999E-3</v>
      </c>
      <c r="O108" s="26"/>
      <c r="P108" s="25">
        <v>2.34</v>
      </c>
      <c r="Q108" s="25">
        <v>2.34</v>
      </c>
      <c r="R108" s="25">
        <v>1.91</v>
      </c>
      <c r="S108" s="25">
        <v>1.91</v>
      </c>
      <c r="T108" s="36">
        <v>1.2961</v>
      </c>
      <c r="U108" s="28">
        <f t="shared" si="8"/>
        <v>3.0328740000000001</v>
      </c>
      <c r="V108" s="28">
        <f t="shared" si="7"/>
        <v>3.0328740000000001</v>
      </c>
      <c r="W108" s="28">
        <f t="shared" si="5"/>
        <v>2.4755509999999998</v>
      </c>
      <c r="X108" s="34">
        <f t="shared" si="6"/>
        <v>2.4755509999999998</v>
      </c>
    </row>
    <row r="109" spans="1:24" x14ac:dyDescent="0.25">
      <c r="A109" s="22">
        <v>92</v>
      </c>
      <c r="B109" s="23" t="s">
        <v>122</v>
      </c>
      <c r="C109" s="24">
        <v>0.41410000000000002</v>
      </c>
      <c r="D109" s="31">
        <v>0.437</v>
      </c>
      <c r="E109" s="26">
        <v>0.33110000000000001</v>
      </c>
      <c r="F109" s="26"/>
      <c r="G109" s="26">
        <f>0.1962+0.0453+0.0367</f>
        <v>0.2782</v>
      </c>
      <c r="H109" s="26">
        <v>2.7000000000000001E-3</v>
      </c>
      <c r="I109" s="26">
        <v>1.3299999999999999E-2</v>
      </c>
      <c r="J109" s="26">
        <v>0.83909999999999996</v>
      </c>
      <c r="K109" s="26"/>
      <c r="L109" s="26">
        <v>1.37E-2</v>
      </c>
      <c r="M109" s="26">
        <v>6.7999999999999996E-3</v>
      </c>
      <c r="N109" s="26">
        <v>7.4999999999999997E-3</v>
      </c>
      <c r="O109" s="26"/>
      <c r="P109" s="25">
        <v>2.36</v>
      </c>
      <c r="Q109" s="25">
        <v>2.36</v>
      </c>
      <c r="R109" s="25">
        <v>1.93</v>
      </c>
      <c r="S109" s="25">
        <v>1.93</v>
      </c>
      <c r="T109" s="36">
        <v>1.3297000000000001</v>
      </c>
      <c r="U109" s="28">
        <f t="shared" si="8"/>
        <v>3.1380919999999999</v>
      </c>
      <c r="V109" s="28">
        <f t="shared" si="7"/>
        <v>3.1380919999999999</v>
      </c>
      <c r="W109" s="28">
        <f t="shared" si="5"/>
        <v>2.5663210000000003</v>
      </c>
      <c r="X109" s="34">
        <f t="shared" si="6"/>
        <v>2.5663210000000003</v>
      </c>
    </row>
    <row r="110" spans="1:24" x14ac:dyDescent="0.25">
      <c r="A110" s="22">
        <v>1.38</v>
      </c>
      <c r="B110" s="23" t="s">
        <v>123</v>
      </c>
      <c r="C110" s="24">
        <v>0.3901</v>
      </c>
      <c r="D110" s="25">
        <v>0.44140000000000001</v>
      </c>
      <c r="E110" s="26">
        <v>0.31559999999999999</v>
      </c>
      <c r="F110" s="26"/>
      <c r="G110" s="26">
        <f>0.1957+0.0452+0.0366</f>
        <v>0.27750000000000002</v>
      </c>
      <c r="H110" s="26">
        <v>2.5000000000000001E-3</v>
      </c>
      <c r="I110" s="26">
        <v>1.26E-2</v>
      </c>
      <c r="J110" s="26">
        <v>0.83209999999999995</v>
      </c>
      <c r="K110" s="26"/>
      <c r="L110" s="26">
        <v>1.2800000000000001E-2</v>
      </c>
      <c r="M110" s="26">
        <v>6.4000000000000003E-3</v>
      </c>
      <c r="N110" s="26">
        <v>5.9200000000000003E-2</v>
      </c>
      <c r="O110" s="26"/>
      <c r="P110" s="25">
        <v>2.34</v>
      </c>
      <c r="Q110" s="25">
        <v>2.34</v>
      </c>
      <c r="R110" s="25">
        <v>1.9</v>
      </c>
      <c r="S110" s="25">
        <v>1.9</v>
      </c>
      <c r="T110" s="36">
        <v>1.3828</v>
      </c>
      <c r="U110" s="28">
        <f t="shared" si="8"/>
        <v>3.2357519999999997</v>
      </c>
      <c r="V110" s="28">
        <f t="shared" si="7"/>
        <v>3.2357519999999997</v>
      </c>
      <c r="W110" s="28">
        <f t="shared" si="5"/>
        <v>2.6273200000000001</v>
      </c>
      <c r="X110" s="34">
        <f t="shared" si="6"/>
        <v>2.6273200000000001</v>
      </c>
    </row>
    <row r="111" spans="1:24" x14ac:dyDescent="0.25">
      <c r="A111" s="29">
        <v>94</v>
      </c>
      <c r="B111" s="23" t="s">
        <v>124</v>
      </c>
      <c r="C111" s="24">
        <v>0.65069999999999995</v>
      </c>
      <c r="D111" s="25">
        <v>0.62890000000000001</v>
      </c>
      <c r="E111" s="26">
        <v>0.25380000000000003</v>
      </c>
      <c r="F111" s="26">
        <v>0.34449999999999997</v>
      </c>
      <c r="G111" s="26">
        <f>0.14+0.0403+0.0326</f>
        <v>0.21290000000000001</v>
      </c>
      <c r="H111" s="26">
        <v>5.9999999999999995E-4</v>
      </c>
      <c r="I111" s="26">
        <v>2.8E-3</v>
      </c>
      <c r="J111" s="26">
        <v>0.81110000000000004</v>
      </c>
      <c r="K111" s="26">
        <v>6.8400000000000002E-2</v>
      </c>
      <c r="L111" s="26">
        <v>1.09E-2</v>
      </c>
      <c r="M111" s="26">
        <v>1.6000000000000001E-3</v>
      </c>
      <c r="N111" s="26">
        <v>2.9000000000000001E-2</v>
      </c>
      <c r="O111" s="26">
        <v>4.9700000000000001E-2</v>
      </c>
      <c r="P111" s="25">
        <v>3.06</v>
      </c>
      <c r="Q111" s="28">
        <v>2.6</v>
      </c>
      <c r="R111" s="28">
        <v>2.44</v>
      </c>
      <c r="S111" s="28">
        <v>1.97</v>
      </c>
      <c r="T111" s="36">
        <v>1.3051999999999999</v>
      </c>
      <c r="U111" s="28">
        <v>4</v>
      </c>
      <c r="V111" s="28">
        <v>3.4</v>
      </c>
      <c r="W111" s="28">
        <f t="shared" si="5"/>
        <v>3.1846879999999995</v>
      </c>
      <c r="X111" s="34">
        <v>2.58</v>
      </c>
    </row>
    <row r="112" spans="1:24" x14ac:dyDescent="0.25">
      <c r="A112" s="22">
        <v>95</v>
      </c>
      <c r="B112" s="23" t="s">
        <v>125</v>
      </c>
      <c r="C112" s="24">
        <v>0.3659</v>
      </c>
      <c r="D112" s="31">
        <v>0.495</v>
      </c>
      <c r="E112" s="26">
        <v>0.3266</v>
      </c>
      <c r="F112" s="26"/>
      <c r="G112" s="26">
        <f>0.2003+0.0452+0.0375</f>
        <v>0.28299999999999997</v>
      </c>
      <c r="H112" s="26">
        <v>2.5000000000000001E-3</v>
      </c>
      <c r="I112" s="26">
        <v>1.26E-2</v>
      </c>
      <c r="J112" s="26">
        <v>0.85919999999999996</v>
      </c>
      <c r="K112" s="26"/>
      <c r="L112" s="26">
        <v>1.2800000000000001E-2</v>
      </c>
      <c r="M112" s="26">
        <v>6.3E-3</v>
      </c>
      <c r="N112" s="26">
        <v>6.0199999999999997E-2</v>
      </c>
      <c r="O112" s="26"/>
      <c r="P112" s="25">
        <v>2.42</v>
      </c>
      <c r="Q112" s="25">
        <v>2.42</v>
      </c>
      <c r="R112" s="25">
        <v>1.93</v>
      </c>
      <c r="S112" s="25">
        <v>1.93</v>
      </c>
      <c r="T112" s="36">
        <v>1.3802000000000001</v>
      </c>
      <c r="U112" s="28">
        <f t="shared" si="8"/>
        <v>3.3400840000000001</v>
      </c>
      <c r="V112" s="28">
        <f t="shared" si="7"/>
        <v>3.3400840000000001</v>
      </c>
      <c r="W112" s="28">
        <f t="shared" si="5"/>
        <v>2.663786</v>
      </c>
      <c r="X112" s="34">
        <f t="shared" si="6"/>
        <v>2.663786</v>
      </c>
    </row>
    <row r="113" spans="1:24" x14ac:dyDescent="0.25">
      <c r="A113" s="22">
        <v>96</v>
      </c>
      <c r="B113" s="23" t="s">
        <v>126</v>
      </c>
      <c r="C113" s="24">
        <v>0.35349999999999998</v>
      </c>
      <c r="D113" s="25">
        <v>0.45329999999999998</v>
      </c>
      <c r="E113" s="26">
        <v>0.33410000000000001</v>
      </c>
      <c r="F113" s="26"/>
      <c r="G113" s="26">
        <f>0.2038+0.046+0.0373</f>
        <v>0.28710000000000002</v>
      </c>
      <c r="H113" s="26">
        <v>2.5999999999999999E-3</v>
      </c>
      <c r="I113" s="26">
        <v>1.2800000000000001E-2</v>
      </c>
      <c r="J113" s="26">
        <v>0.86819999999999997</v>
      </c>
      <c r="K113" s="26"/>
      <c r="L113" s="26">
        <v>1.2999999999999999E-2</v>
      </c>
      <c r="M113" s="26">
        <v>6.4000000000000003E-3</v>
      </c>
      <c r="N113" s="26">
        <v>5.21E-2</v>
      </c>
      <c r="O113" s="26"/>
      <c r="P113" s="25">
        <v>2.38</v>
      </c>
      <c r="Q113" s="25">
        <v>2.38</v>
      </c>
      <c r="R113" s="25">
        <v>1.93</v>
      </c>
      <c r="S113" s="25">
        <v>1.93</v>
      </c>
      <c r="T113" s="36">
        <v>1.3933</v>
      </c>
      <c r="U113" s="28">
        <f t="shared" si="8"/>
        <v>3.3160539999999998</v>
      </c>
      <c r="V113" s="28">
        <f t="shared" si="7"/>
        <v>3.3160539999999998</v>
      </c>
      <c r="W113" s="28">
        <f t="shared" si="5"/>
        <v>2.6890689999999999</v>
      </c>
      <c r="X113" s="34">
        <f t="shared" si="6"/>
        <v>2.6890689999999999</v>
      </c>
    </row>
    <row r="114" spans="1:24" x14ac:dyDescent="0.25">
      <c r="A114" s="29">
        <v>97</v>
      </c>
      <c r="B114" s="23" t="s">
        <v>127</v>
      </c>
      <c r="C114" s="24">
        <v>0.52410000000000001</v>
      </c>
      <c r="D114" s="25">
        <v>0.63519999999999999</v>
      </c>
      <c r="E114" s="26">
        <v>0.26179999999999998</v>
      </c>
      <c r="F114" s="26">
        <v>0.46150000000000002</v>
      </c>
      <c r="G114" s="26">
        <f>0.1417+0.0392+0.0323</f>
        <v>0.2132</v>
      </c>
      <c r="H114" s="26">
        <v>8.9999999999999998E-4</v>
      </c>
      <c r="I114" s="26">
        <v>4.5999999999999999E-3</v>
      </c>
      <c r="J114" s="26">
        <v>0.79849999999999999</v>
      </c>
      <c r="K114" s="26">
        <v>6.8400000000000002E-2</v>
      </c>
      <c r="L114" s="26">
        <v>1.06E-2</v>
      </c>
      <c r="M114" s="26">
        <v>2.5999999999999999E-3</v>
      </c>
      <c r="N114" s="26">
        <v>1.77E-2</v>
      </c>
      <c r="O114" s="26">
        <v>6.88E-2</v>
      </c>
      <c r="P114" s="25">
        <v>3.07</v>
      </c>
      <c r="Q114" s="25">
        <v>2.4700000000000002</v>
      </c>
      <c r="R114" s="25">
        <v>2.4300000000000002</v>
      </c>
      <c r="S114" s="25">
        <v>1.83</v>
      </c>
      <c r="T114" s="36">
        <v>1.2609999999999999</v>
      </c>
      <c r="U114" s="28">
        <f t="shared" si="8"/>
        <v>3.8712699999999995</v>
      </c>
      <c r="V114" s="28">
        <f t="shared" si="7"/>
        <v>3.1146699999999998</v>
      </c>
      <c r="W114" s="28">
        <v>3.07</v>
      </c>
      <c r="X114" s="34">
        <f t="shared" si="6"/>
        <v>2.3076300000000001</v>
      </c>
    </row>
    <row r="115" spans="1:24" x14ac:dyDescent="0.25">
      <c r="A115" s="22">
        <v>98</v>
      </c>
      <c r="B115" s="23" t="s">
        <v>128</v>
      </c>
      <c r="C115" s="24">
        <v>0.39810000000000001</v>
      </c>
      <c r="D115" s="25">
        <v>0.50360000000000005</v>
      </c>
      <c r="E115" s="26">
        <v>0.2979</v>
      </c>
      <c r="F115" s="26"/>
      <c r="G115" s="26">
        <f>0.1986+0.0434+0.0345</f>
        <v>0.27649999999999997</v>
      </c>
      <c r="H115" s="26">
        <v>2.7000000000000001E-3</v>
      </c>
      <c r="I115" s="26">
        <v>1.3599999999999999E-2</v>
      </c>
      <c r="J115" s="26">
        <v>0.87719999999999998</v>
      </c>
      <c r="K115" s="26"/>
      <c r="L115" s="26">
        <v>1.2999999999999999E-2</v>
      </c>
      <c r="M115" s="26">
        <v>6.7999999999999996E-3</v>
      </c>
      <c r="N115" s="26">
        <v>6.13E-2</v>
      </c>
      <c r="O115" s="26"/>
      <c r="P115" s="25">
        <v>2.44</v>
      </c>
      <c r="Q115" s="25">
        <v>2.44</v>
      </c>
      <c r="R115" s="25">
        <v>1.94</v>
      </c>
      <c r="S115" s="25">
        <v>1.94</v>
      </c>
      <c r="T115" s="36">
        <v>1.3634999999999999</v>
      </c>
      <c r="U115" s="28">
        <v>3.34</v>
      </c>
      <c r="V115" s="28">
        <v>3.34</v>
      </c>
      <c r="W115" s="28">
        <v>2.66</v>
      </c>
      <c r="X115" s="34">
        <v>2.66</v>
      </c>
    </row>
    <row r="116" spans="1:24" x14ac:dyDescent="0.25">
      <c r="A116" s="39">
        <v>99</v>
      </c>
      <c r="B116" s="40" t="s">
        <v>129</v>
      </c>
      <c r="C116" s="41">
        <v>0.44359999999999999</v>
      </c>
      <c r="D116" s="42">
        <v>0.49669999999999997</v>
      </c>
      <c r="E116" s="43">
        <v>0.3201</v>
      </c>
      <c r="F116" s="43"/>
      <c r="G116" s="43">
        <f>0.1956+0.0425+0.034</f>
        <v>0.27210000000000001</v>
      </c>
      <c r="H116" s="43">
        <v>2.7000000000000001E-3</v>
      </c>
      <c r="I116" s="43">
        <v>1.3299999999999999E-2</v>
      </c>
      <c r="J116" s="43">
        <v>0.86219999999999997</v>
      </c>
      <c r="K116" s="43"/>
      <c r="L116" s="43">
        <v>1.2800000000000001E-2</v>
      </c>
      <c r="M116" s="43">
        <v>6.7000000000000002E-3</v>
      </c>
      <c r="N116" s="43">
        <v>4.3799999999999999E-2</v>
      </c>
      <c r="O116" s="43"/>
      <c r="P116" s="42">
        <v>2.4700000000000002</v>
      </c>
      <c r="Q116" s="42">
        <v>2.4700000000000002</v>
      </c>
      <c r="R116" s="42">
        <v>1.98</v>
      </c>
      <c r="S116" s="42">
        <v>1.98</v>
      </c>
      <c r="T116" s="44">
        <v>1.3379000000000001</v>
      </c>
      <c r="U116" s="45">
        <v>3.31</v>
      </c>
      <c r="V116" s="45">
        <v>3.31</v>
      </c>
      <c r="W116" s="45">
        <f t="shared" si="5"/>
        <v>2.6490420000000001</v>
      </c>
      <c r="X116" s="46">
        <f t="shared" si="6"/>
        <v>2.6490420000000001</v>
      </c>
    </row>
    <row r="117" spans="1:24" x14ac:dyDescent="0.25">
      <c r="A117" s="29">
        <v>100</v>
      </c>
      <c r="B117" s="23" t="s">
        <v>130</v>
      </c>
      <c r="C117" s="30">
        <v>0.34200000000000003</v>
      </c>
      <c r="D117" s="31">
        <v>0.45</v>
      </c>
      <c r="E117" s="26">
        <v>0.3206</v>
      </c>
      <c r="F117" s="26"/>
      <c r="G117" s="26">
        <f>0.2057+0.0457+0.0343</f>
        <v>0.28570000000000001</v>
      </c>
      <c r="H117" s="26">
        <v>2.7000000000000001E-3</v>
      </c>
      <c r="I117" s="26">
        <v>1.3299999999999999E-2</v>
      </c>
      <c r="J117" s="26">
        <v>0.95699999999999996</v>
      </c>
      <c r="K117" s="26"/>
      <c r="L117" s="26">
        <v>1.37E-2</v>
      </c>
      <c r="M117" s="26">
        <v>6.7999999999999996E-3</v>
      </c>
      <c r="N117" s="26">
        <v>1.1299999999999999E-2</v>
      </c>
      <c r="O117" s="26"/>
      <c r="P117" s="28">
        <v>2.4</v>
      </c>
      <c r="Q117" s="25">
        <v>2.4</v>
      </c>
      <c r="R117" s="25">
        <v>1.95</v>
      </c>
      <c r="S117" s="25">
        <v>1.95</v>
      </c>
      <c r="T117" s="36">
        <v>1.3270999999999999</v>
      </c>
      <c r="U117" s="28">
        <v>3.19</v>
      </c>
      <c r="V117" s="28">
        <v>3.19</v>
      </c>
      <c r="W117" s="28">
        <f t="shared" si="5"/>
        <v>2.5878449999999997</v>
      </c>
      <c r="X117" s="34">
        <f t="shared" si="6"/>
        <v>2.5878449999999997</v>
      </c>
    </row>
    <row r="118" spans="1:24" x14ac:dyDescent="0.25">
      <c r="A118" s="22">
        <v>101</v>
      </c>
      <c r="B118" s="23" t="s">
        <v>131</v>
      </c>
      <c r="C118" s="24">
        <v>0.33610000000000001</v>
      </c>
      <c r="D118" s="25">
        <v>0.35720000000000002</v>
      </c>
      <c r="E118" s="26">
        <v>0.31209999999999999</v>
      </c>
      <c r="F118" s="26">
        <v>0.41570000000000001</v>
      </c>
      <c r="G118" s="26">
        <f>0.2058+0.0435+0.0366</f>
        <v>0.28590000000000004</v>
      </c>
      <c r="H118" s="26">
        <v>1E-4</v>
      </c>
      <c r="I118" s="26">
        <v>6.9999999999999999E-4</v>
      </c>
      <c r="J118" s="26">
        <v>0.78920000000000001</v>
      </c>
      <c r="K118" s="26">
        <v>6.8400000000000002E-2</v>
      </c>
      <c r="L118" s="26">
        <v>1.4200000000000001E-2</v>
      </c>
      <c r="M118" s="26">
        <v>4.0000000000000002E-4</v>
      </c>
      <c r="N118" s="26">
        <v>6.4199999999999993E-2</v>
      </c>
      <c r="O118" s="26">
        <v>8.2199999999999995E-2</v>
      </c>
      <c r="P118" s="25">
        <v>2.73</v>
      </c>
      <c r="Q118" s="25">
        <v>2.16</v>
      </c>
      <c r="R118" s="25">
        <v>2.37</v>
      </c>
      <c r="S118" s="25">
        <v>1.8</v>
      </c>
      <c r="T118" s="36">
        <v>1.4609000000000001</v>
      </c>
      <c r="U118" s="28">
        <v>3.98</v>
      </c>
      <c r="V118" s="28">
        <f t="shared" si="7"/>
        <v>3.1555440000000003</v>
      </c>
      <c r="W118" s="28">
        <f t="shared" si="5"/>
        <v>3.4623330000000005</v>
      </c>
      <c r="X118" s="34">
        <f t="shared" si="6"/>
        <v>2.6296200000000001</v>
      </c>
    </row>
    <row r="119" spans="1:24" x14ac:dyDescent="0.25">
      <c r="A119" s="22">
        <v>102</v>
      </c>
      <c r="B119" s="23" t="s">
        <v>132</v>
      </c>
      <c r="C119" s="24">
        <v>0.25850000000000001</v>
      </c>
      <c r="D119" s="25">
        <v>0.37359999999999999</v>
      </c>
      <c r="E119" s="26">
        <v>0.33589999999999998</v>
      </c>
      <c r="F119" s="26">
        <v>0.50280000000000002</v>
      </c>
      <c r="G119" s="26">
        <f>0.2236+0.0447+0.0373</f>
        <v>0.30559999999999998</v>
      </c>
      <c r="H119" s="26">
        <v>1E-4</v>
      </c>
      <c r="I119" s="26">
        <v>4.0000000000000002E-4</v>
      </c>
      <c r="J119" s="26">
        <v>0.78710000000000002</v>
      </c>
      <c r="K119" s="26">
        <v>6.8400000000000002E-2</v>
      </c>
      <c r="L119" s="26">
        <v>1.49E-2</v>
      </c>
      <c r="M119" s="26">
        <v>2.0000000000000001E-4</v>
      </c>
      <c r="N119" s="26">
        <v>3.61E-2</v>
      </c>
      <c r="O119" s="26">
        <v>7.8E-2</v>
      </c>
      <c r="P119" s="25">
        <v>2.76</v>
      </c>
      <c r="Q119" s="25">
        <v>2.11</v>
      </c>
      <c r="R119" s="25">
        <v>2.39</v>
      </c>
      <c r="S119" s="25">
        <v>1.74</v>
      </c>
      <c r="T119" s="36">
        <v>1.4175</v>
      </c>
      <c r="U119" s="28">
        <f t="shared" si="8"/>
        <v>3.9122999999999997</v>
      </c>
      <c r="V119" s="28">
        <f t="shared" si="7"/>
        <v>2.9909249999999998</v>
      </c>
      <c r="W119" s="28">
        <f t="shared" si="5"/>
        <v>3.3878250000000003</v>
      </c>
      <c r="X119" s="34">
        <f t="shared" si="6"/>
        <v>2.46645</v>
      </c>
    </row>
    <row r="120" spans="1:24" x14ac:dyDescent="0.25">
      <c r="A120" s="29">
        <v>103</v>
      </c>
      <c r="B120" s="23" t="s">
        <v>133</v>
      </c>
      <c r="C120" s="30">
        <v>0.112</v>
      </c>
      <c r="D120" s="31">
        <v>0.63109999999999999</v>
      </c>
      <c r="E120" s="26">
        <v>0.2863</v>
      </c>
      <c r="F120" s="26">
        <v>0.5595</v>
      </c>
      <c r="G120" s="26">
        <f>0.0981+0.0281+0.023</f>
        <v>0.1492</v>
      </c>
      <c r="H120" s="26">
        <v>2.9999999999999997E-4</v>
      </c>
      <c r="I120" s="26">
        <v>1.2999999999999999E-3</v>
      </c>
      <c r="J120" s="26">
        <v>0.91690000000000005</v>
      </c>
      <c r="K120" s="26">
        <v>6.8400000000000002E-2</v>
      </c>
      <c r="L120" s="26">
        <v>1.03E-2</v>
      </c>
      <c r="M120" s="26">
        <v>1E-3</v>
      </c>
      <c r="N120" s="26">
        <v>7.0800000000000002E-2</v>
      </c>
      <c r="O120" s="26">
        <v>9.6799999999999997E-2</v>
      </c>
      <c r="P120" s="28">
        <v>2.9</v>
      </c>
      <c r="Q120" s="28">
        <v>2.1800000000000002</v>
      </c>
      <c r="R120" s="28">
        <v>2.27</v>
      </c>
      <c r="S120" s="28">
        <v>1.55</v>
      </c>
      <c r="T120" s="36">
        <v>1.3554999999999999</v>
      </c>
      <c r="U120" s="28">
        <v>3.93</v>
      </c>
      <c r="V120" s="28">
        <f t="shared" si="7"/>
        <v>2.95499</v>
      </c>
      <c r="W120" s="28">
        <f t="shared" si="5"/>
        <v>3.0769849999999996</v>
      </c>
      <c r="X120" s="34">
        <f t="shared" si="6"/>
        <v>2.1010249999999999</v>
      </c>
    </row>
    <row r="121" spans="1:24" x14ac:dyDescent="0.25">
      <c r="A121" s="22">
        <v>104</v>
      </c>
      <c r="B121" s="23" t="s">
        <v>134</v>
      </c>
      <c r="C121" s="24">
        <v>0.4672</v>
      </c>
      <c r="D121" s="25">
        <v>0.4753</v>
      </c>
      <c r="E121" s="26">
        <v>0.32019999999999998</v>
      </c>
      <c r="F121" s="26"/>
      <c r="G121" s="26">
        <f>0.1807+0.0332+0.0296</f>
        <v>0.24349999999999999</v>
      </c>
      <c r="H121" s="26">
        <v>2.5999999999999999E-3</v>
      </c>
      <c r="I121" s="26">
        <v>1.3100000000000001E-2</v>
      </c>
      <c r="J121" s="26">
        <v>0.90480000000000005</v>
      </c>
      <c r="K121" s="26"/>
      <c r="L121" s="26">
        <v>1.6500000000000001E-2</v>
      </c>
      <c r="M121" s="26">
        <v>8.3000000000000001E-3</v>
      </c>
      <c r="N121" s="26">
        <v>2.5499999999999998E-2</v>
      </c>
      <c r="O121" s="26"/>
      <c r="P121" s="25">
        <v>2.48</v>
      </c>
      <c r="Q121" s="25">
        <v>2.48</v>
      </c>
      <c r="R121" s="28">
        <v>2</v>
      </c>
      <c r="S121" s="28">
        <v>2</v>
      </c>
      <c r="T121" s="36">
        <v>1.254</v>
      </c>
      <c r="U121" s="28">
        <f t="shared" si="8"/>
        <v>3.1099199999999998</v>
      </c>
      <c r="V121" s="28">
        <f t="shared" si="7"/>
        <v>3.1099199999999998</v>
      </c>
      <c r="W121" s="28">
        <f t="shared" si="5"/>
        <v>2.508</v>
      </c>
      <c r="X121" s="34">
        <f t="shared" si="6"/>
        <v>2.508</v>
      </c>
    </row>
    <row r="122" spans="1:24" x14ac:dyDescent="0.25">
      <c r="A122" s="22">
        <v>105</v>
      </c>
      <c r="B122" s="23" t="s">
        <v>135</v>
      </c>
      <c r="C122" s="24">
        <v>0.26669999999999999</v>
      </c>
      <c r="D122" s="31">
        <v>0.497</v>
      </c>
      <c r="E122" s="26">
        <v>0.35730000000000001</v>
      </c>
      <c r="F122" s="26"/>
      <c r="G122" s="26">
        <f>0.1978+0.0412+0.033</f>
        <v>0.27200000000000002</v>
      </c>
      <c r="H122" s="26">
        <v>2.5999999999999999E-3</v>
      </c>
      <c r="I122" s="26">
        <v>1.29E-2</v>
      </c>
      <c r="J122" s="26">
        <v>0.99670000000000003</v>
      </c>
      <c r="K122" s="26"/>
      <c r="L122" s="26">
        <v>1.4800000000000001E-2</v>
      </c>
      <c r="M122" s="26">
        <v>7.1000000000000004E-3</v>
      </c>
      <c r="N122" s="26">
        <v>5.5599999999999997E-2</v>
      </c>
      <c r="O122" s="26"/>
      <c r="P122" s="25">
        <v>2.48</v>
      </c>
      <c r="Q122" s="25">
        <v>2.48</v>
      </c>
      <c r="R122" s="25">
        <v>1.99</v>
      </c>
      <c r="S122" s="25">
        <v>1.99</v>
      </c>
      <c r="T122" s="36">
        <v>1.2883</v>
      </c>
      <c r="U122" s="28">
        <v>3.2</v>
      </c>
      <c r="V122" s="28">
        <v>3.2</v>
      </c>
      <c r="W122" s="28">
        <f t="shared" si="5"/>
        <v>2.563717</v>
      </c>
      <c r="X122" s="34">
        <f t="shared" si="6"/>
        <v>2.563717</v>
      </c>
    </row>
    <row r="123" spans="1:24" x14ac:dyDescent="0.25">
      <c r="A123" s="29">
        <v>106</v>
      </c>
      <c r="B123" s="23" t="s">
        <v>136</v>
      </c>
      <c r="C123" s="24">
        <v>0.3931</v>
      </c>
      <c r="D123" s="25">
        <v>0.4753</v>
      </c>
      <c r="E123" s="26">
        <v>0.34789999999999999</v>
      </c>
      <c r="F123" s="26"/>
      <c r="G123" s="26">
        <f>0.181+0.0433+0.0302</f>
        <v>0.2545</v>
      </c>
      <c r="H123" s="26">
        <v>2.5999999999999999E-3</v>
      </c>
      <c r="I123" s="26">
        <v>1.29E-2</v>
      </c>
      <c r="J123" s="26">
        <v>0.9123</v>
      </c>
      <c r="K123" s="26"/>
      <c r="L123" s="26">
        <v>1.44E-2</v>
      </c>
      <c r="M123" s="26">
        <v>6.8999999999999999E-3</v>
      </c>
      <c r="N123" s="26">
        <v>3.4299999999999997E-2</v>
      </c>
      <c r="O123" s="26"/>
      <c r="P123" s="25">
        <v>2.4500000000000002</v>
      </c>
      <c r="Q123" s="25">
        <v>2.4500000000000002</v>
      </c>
      <c r="R123" s="25">
        <v>1.98</v>
      </c>
      <c r="S123" s="25">
        <v>1.98</v>
      </c>
      <c r="T123" s="36">
        <v>1.262</v>
      </c>
      <c r="U123" s="28">
        <v>3.1</v>
      </c>
      <c r="V123" s="28">
        <v>3.1</v>
      </c>
      <c r="W123" s="28">
        <f t="shared" si="5"/>
        <v>2.4987599999999999</v>
      </c>
      <c r="X123" s="34">
        <f t="shared" si="6"/>
        <v>2.4987599999999999</v>
      </c>
    </row>
    <row r="124" spans="1:24" x14ac:dyDescent="0.25">
      <c r="A124" s="22">
        <v>107</v>
      </c>
      <c r="B124" s="23" t="s">
        <v>137</v>
      </c>
      <c r="C124" s="30">
        <v>0.35399999999999998</v>
      </c>
      <c r="D124" s="25">
        <v>0.40649999999999997</v>
      </c>
      <c r="E124" s="26">
        <v>0.33310000000000001</v>
      </c>
      <c r="F124" s="26"/>
      <c r="G124" s="26">
        <f>0.2271+0.0454+0.0373</f>
        <v>0.30980000000000002</v>
      </c>
      <c r="H124" s="26">
        <v>2.5999999999999999E-3</v>
      </c>
      <c r="I124" s="26">
        <v>1.32E-2</v>
      </c>
      <c r="J124" s="26">
        <v>0.81420000000000003</v>
      </c>
      <c r="K124" s="26"/>
      <c r="L124" s="26">
        <v>1.6199999999999999E-2</v>
      </c>
      <c r="M124" s="26">
        <v>6.7000000000000002E-3</v>
      </c>
      <c r="N124" s="26">
        <v>1.04E-2</v>
      </c>
      <c r="O124" s="26"/>
      <c r="P124" s="25">
        <v>2.27</v>
      </c>
      <c r="Q124" s="25">
        <v>2.27</v>
      </c>
      <c r="R124" s="25">
        <v>1.86</v>
      </c>
      <c r="S124" s="25">
        <v>1.86</v>
      </c>
      <c r="T124" s="36">
        <v>1.2597</v>
      </c>
      <c r="U124" s="28">
        <f t="shared" si="8"/>
        <v>2.8595190000000001</v>
      </c>
      <c r="V124" s="28">
        <f t="shared" si="7"/>
        <v>2.8595190000000001</v>
      </c>
      <c r="W124" s="28">
        <f t="shared" si="5"/>
        <v>2.3430420000000001</v>
      </c>
      <c r="X124" s="34">
        <f t="shared" si="6"/>
        <v>2.3430420000000001</v>
      </c>
    </row>
    <row r="125" spans="1:24" x14ac:dyDescent="0.25">
      <c r="A125" s="22">
        <v>108</v>
      </c>
      <c r="B125" s="23" t="s">
        <v>138</v>
      </c>
      <c r="C125" s="24">
        <v>0.39760000000000001</v>
      </c>
      <c r="D125" s="25">
        <v>0.40389999999999998</v>
      </c>
      <c r="E125" s="26">
        <v>0.35549999999999998</v>
      </c>
      <c r="F125" s="26"/>
      <c r="G125" s="26">
        <f>0.2323+0.0448+0.0365</f>
        <v>0.31359999999999999</v>
      </c>
      <c r="H125" s="26">
        <v>2.7000000000000001E-3</v>
      </c>
      <c r="I125" s="26">
        <v>1.35E-2</v>
      </c>
      <c r="J125" s="26">
        <v>0.74370000000000003</v>
      </c>
      <c r="K125" s="26"/>
      <c r="L125" s="26">
        <v>1.6500000000000001E-2</v>
      </c>
      <c r="M125" s="26">
        <v>6.7999999999999996E-3</v>
      </c>
      <c r="N125" s="26">
        <v>7.6E-3</v>
      </c>
      <c r="O125" s="26"/>
      <c r="P125" s="25">
        <v>2.2599999999999998</v>
      </c>
      <c r="Q125" s="25">
        <v>2.2599999999999998</v>
      </c>
      <c r="R125" s="25">
        <v>1.86</v>
      </c>
      <c r="S125" s="25">
        <v>1.86</v>
      </c>
      <c r="T125" s="36">
        <v>1.2548999999999999</v>
      </c>
      <c r="U125" s="28">
        <f t="shared" si="8"/>
        <v>2.8360739999999995</v>
      </c>
      <c r="V125" s="28">
        <f t="shared" si="7"/>
        <v>2.8360739999999995</v>
      </c>
      <c r="W125" s="28">
        <f t="shared" si="5"/>
        <v>2.334114</v>
      </c>
      <c r="X125" s="34">
        <f t="shared" si="6"/>
        <v>2.334114</v>
      </c>
    </row>
    <row r="126" spans="1:24" x14ac:dyDescent="0.25">
      <c r="A126" s="29">
        <v>109</v>
      </c>
      <c r="B126" s="23" t="s">
        <v>139</v>
      </c>
      <c r="C126" s="30">
        <v>0.3785</v>
      </c>
      <c r="D126" s="31">
        <v>0.66810000000000003</v>
      </c>
      <c r="E126" s="26">
        <v>0.32790000000000002</v>
      </c>
      <c r="F126" s="26"/>
      <c r="G126" s="26">
        <f>0.1384+0.0396+0.0308</f>
        <v>0.20879999999999999</v>
      </c>
      <c r="H126" s="26">
        <v>6.9999999999999999E-4</v>
      </c>
      <c r="I126" s="26">
        <v>3.5999999999999999E-3</v>
      </c>
      <c r="J126" s="26">
        <v>0.93889999999999996</v>
      </c>
      <c r="K126" s="26"/>
      <c r="L126" s="26">
        <v>2.98E-2</v>
      </c>
      <c r="M126" s="26">
        <v>2E-3</v>
      </c>
      <c r="N126" s="26">
        <v>3.6900000000000002E-2</v>
      </c>
      <c r="O126" s="26"/>
      <c r="P126" s="28">
        <v>2.6</v>
      </c>
      <c r="Q126" s="25">
        <v>2.6</v>
      </c>
      <c r="R126" s="25">
        <v>1.93</v>
      </c>
      <c r="S126" s="25">
        <v>1.93</v>
      </c>
      <c r="T126" s="36">
        <v>1.2755000000000001</v>
      </c>
      <c r="U126" s="28">
        <f t="shared" si="8"/>
        <v>3.3163000000000005</v>
      </c>
      <c r="V126" s="28">
        <f t="shared" si="7"/>
        <v>3.3163000000000005</v>
      </c>
      <c r="W126" s="28">
        <f t="shared" si="5"/>
        <v>2.4617149999999999</v>
      </c>
      <c r="X126" s="34">
        <f t="shared" si="6"/>
        <v>2.4617149999999999</v>
      </c>
    </row>
    <row r="127" spans="1:24" x14ac:dyDescent="0.25">
      <c r="A127" s="22">
        <v>110</v>
      </c>
      <c r="B127" s="23" t="s">
        <v>140</v>
      </c>
      <c r="C127" s="30">
        <v>0.31090000000000001</v>
      </c>
      <c r="D127" s="31">
        <v>0.59599999999999997</v>
      </c>
      <c r="E127" s="26">
        <v>0.2928</v>
      </c>
      <c r="F127" s="26">
        <v>0.53849999999999998</v>
      </c>
      <c r="G127" s="26">
        <f>0.1804+0.0458+0.0375</f>
        <v>0.26369999999999999</v>
      </c>
      <c r="H127" s="26">
        <v>2E-3</v>
      </c>
      <c r="I127" s="26">
        <v>9.7999999999999997E-3</v>
      </c>
      <c r="J127" s="26">
        <v>0.91449999999999998</v>
      </c>
      <c r="K127" s="26">
        <v>6.8400000000000002E-2</v>
      </c>
      <c r="L127" s="26">
        <v>1.18E-2</v>
      </c>
      <c r="M127" s="26">
        <v>4.8999999999999998E-3</v>
      </c>
      <c r="N127" s="26">
        <v>2.18E-2</v>
      </c>
      <c r="O127" s="26">
        <v>5.2900000000000003E-2</v>
      </c>
      <c r="P127" s="25">
        <v>3.09</v>
      </c>
      <c r="Q127" s="25">
        <v>2.4300000000000002</v>
      </c>
      <c r="R127" s="25">
        <v>2.4900000000000002</v>
      </c>
      <c r="S127" s="25">
        <v>1.83</v>
      </c>
      <c r="T127" s="36">
        <v>1.2768999999999999</v>
      </c>
      <c r="U127" s="28">
        <v>3.95</v>
      </c>
      <c r="V127" s="28">
        <f t="shared" si="7"/>
        <v>3.1028669999999998</v>
      </c>
      <c r="W127" s="28">
        <f t="shared" si="5"/>
        <v>3.179481</v>
      </c>
      <c r="X127" s="34">
        <f t="shared" si="6"/>
        <v>2.3367269999999998</v>
      </c>
    </row>
    <row r="128" spans="1:24" x14ac:dyDescent="0.25">
      <c r="A128" s="22">
        <v>111</v>
      </c>
      <c r="B128" s="23" t="s">
        <v>141</v>
      </c>
      <c r="C128" s="30">
        <v>0.24679999999999999</v>
      </c>
      <c r="D128" s="31">
        <v>0.36359999999999998</v>
      </c>
      <c r="E128" s="26">
        <v>0.27139999999999997</v>
      </c>
      <c r="F128" s="26">
        <v>0.49640000000000001</v>
      </c>
      <c r="G128" s="26">
        <f>0.1719+0.0422+0.0351</f>
        <v>0.2492</v>
      </c>
      <c r="H128" s="26">
        <v>5.0000000000000001E-4</v>
      </c>
      <c r="I128" s="26">
        <v>2.3E-3</v>
      </c>
      <c r="J128" s="26">
        <v>0.80279999999999996</v>
      </c>
      <c r="K128" s="26">
        <v>6.8400000000000002E-2</v>
      </c>
      <c r="L128" s="26">
        <v>1.4500000000000001E-2</v>
      </c>
      <c r="M128" s="26">
        <v>1.2999999999999999E-3</v>
      </c>
      <c r="N128" s="26">
        <v>0.12939999999999999</v>
      </c>
      <c r="O128" s="26">
        <v>7.8200000000000006E-2</v>
      </c>
      <c r="P128" s="25">
        <v>2.72</v>
      </c>
      <c r="Q128" s="25">
        <v>2.08</v>
      </c>
      <c r="R128" s="25">
        <v>2.36</v>
      </c>
      <c r="S128" s="25">
        <v>1.72</v>
      </c>
      <c r="T128" s="36">
        <v>1.5578000000000001</v>
      </c>
      <c r="U128" s="28">
        <f t="shared" si="8"/>
        <v>4.2372160000000001</v>
      </c>
      <c r="V128" s="28">
        <f t="shared" si="7"/>
        <v>3.2402240000000004</v>
      </c>
      <c r="W128" s="28">
        <f t="shared" si="5"/>
        <v>3.6764079999999999</v>
      </c>
      <c r="X128" s="34">
        <f t="shared" si="6"/>
        <v>2.6794160000000002</v>
      </c>
    </row>
    <row r="129" spans="1:24" x14ac:dyDescent="0.25">
      <c r="A129" s="29">
        <v>112</v>
      </c>
      <c r="B129" s="23" t="s">
        <v>142</v>
      </c>
      <c r="C129" s="30">
        <v>0.26590000000000003</v>
      </c>
      <c r="D129" s="31">
        <v>0.46079999999999999</v>
      </c>
      <c r="E129" s="26">
        <v>0.34179999999999999</v>
      </c>
      <c r="F129" s="26"/>
      <c r="G129" s="26">
        <f>0.2107+0.0456+0.0382</f>
        <v>0.29449999999999998</v>
      </c>
      <c r="H129" s="26">
        <v>2.5000000000000001E-3</v>
      </c>
      <c r="I129" s="26">
        <v>1.2699999999999999E-2</v>
      </c>
      <c r="J129" s="26">
        <v>0.86339999999999995</v>
      </c>
      <c r="K129" s="26"/>
      <c r="L129" s="26">
        <v>1.4E-2</v>
      </c>
      <c r="M129" s="26">
        <v>6.4000000000000003E-3</v>
      </c>
      <c r="N129" s="26">
        <v>4.4299999999999999E-2</v>
      </c>
      <c r="O129" s="26"/>
      <c r="P129" s="25">
        <v>2.31</v>
      </c>
      <c r="Q129" s="25">
        <v>2.31</v>
      </c>
      <c r="R129" s="25">
        <v>1.85</v>
      </c>
      <c r="S129" s="25">
        <v>1.85</v>
      </c>
      <c r="T129" s="36">
        <v>1.3111999999999999</v>
      </c>
      <c r="U129" s="28">
        <f t="shared" si="8"/>
        <v>3.0288719999999998</v>
      </c>
      <c r="V129" s="28">
        <f t="shared" si="7"/>
        <v>3.0288719999999998</v>
      </c>
      <c r="W129" s="28">
        <f t="shared" si="5"/>
        <v>2.4257200000000001</v>
      </c>
      <c r="X129" s="34">
        <f t="shared" si="6"/>
        <v>2.4257200000000001</v>
      </c>
    </row>
    <row r="130" spans="1:24" x14ac:dyDescent="0.25">
      <c r="A130" s="22">
        <v>113</v>
      </c>
      <c r="B130" s="23" t="s">
        <v>143</v>
      </c>
      <c r="C130" s="24">
        <v>0.23930000000000001</v>
      </c>
      <c r="D130" s="25">
        <v>0.48509999999999998</v>
      </c>
      <c r="E130" s="26">
        <v>0.34239999999999998</v>
      </c>
      <c r="F130" s="26"/>
      <c r="G130" s="26">
        <f>0.1965+0.0455+0.0388</f>
        <v>0.28079999999999999</v>
      </c>
      <c r="H130" s="26">
        <v>2.5000000000000001E-3</v>
      </c>
      <c r="I130" s="26">
        <v>2.5000000000000001E-3</v>
      </c>
      <c r="J130" s="26">
        <v>0.93700000000000006</v>
      </c>
      <c r="K130" s="26"/>
      <c r="L130" s="26">
        <v>1.2800000000000001E-2</v>
      </c>
      <c r="M130" s="26">
        <v>6.4000000000000003E-3</v>
      </c>
      <c r="N130" s="26">
        <v>5.8500000000000003E-2</v>
      </c>
      <c r="O130" s="26"/>
      <c r="P130" s="25">
        <v>2.37</v>
      </c>
      <c r="Q130" s="25">
        <v>2.37</v>
      </c>
      <c r="R130" s="25">
        <v>1.88</v>
      </c>
      <c r="S130" s="25">
        <v>1.88</v>
      </c>
      <c r="T130" s="36">
        <v>1.3149</v>
      </c>
      <c r="U130" s="28">
        <f t="shared" si="8"/>
        <v>3.1163129999999999</v>
      </c>
      <c r="V130" s="28">
        <f t="shared" si="7"/>
        <v>3.1163129999999999</v>
      </c>
      <c r="W130" s="28">
        <f t="shared" si="5"/>
        <v>2.4720119999999999</v>
      </c>
      <c r="X130" s="34">
        <f t="shared" si="6"/>
        <v>2.4720119999999999</v>
      </c>
    </row>
    <row r="131" spans="1:24" x14ac:dyDescent="0.25">
      <c r="A131" s="22">
        <v>114</v>
      </c>
      <c r="B131" s="23" t="s">
        <v>144</v>
      </c>
      <c r="C131" s="30">
        <v>0.32100000000000001</v>
      </c>
      <c r="D131" s="25">
        <v>0.48209999999999997</v>
      </c>
      <c r="E131" s="26">
        <v>0.31159999999999999</v>
      </c>
      <c r="F131" s="26"/>
      <c r="G131" s="26">
        <f>0.1986+0.0432+0.0391</f>
        <v>0.28090000000000004</v>
      </c>
      <c r="H131" s="26">
        <v>2.7000000000000001E-3</v>
      </c>
      <c r="I131" s="26">
        <v>1.35E-2</v>
      </c>
      <c r="J131" s="26">
        <v>0.87570000000000003</v>
      </c>
      <c r="K131" s="26"/>
      <c r="L131" s="26">
        <v>1.29E-2</v>
      </c>
      <c r="M131" s="26">
        <v>6.7999999999999996E-3</v>
      </c>
      <c r="N131" s="26">
        <v>5.9400000000000001E-2</v>
      </c>
      <c r="O131" s="26"/>
      <c r="P131" s="25">
        <v>2.37</v>
      </c>
      <c r="Q131" s="25">
        <v>2.37</v>
      </c>
      <c r="R131" s="25">
        <v>1.88</v>
      </c>
      <c r="S131" s="25">
        <v>1.88</v>
      </c>
      <c r="T131" s="36">
        <v>1.2911999999999999</v>
      </c>
      <c r="U131" s="28">
        <f t="shared" si="8"/>
        <v>3.0601439999999998</v>
      </c>
      <c r="V131" s="28">
        <f t="shared" si="7"/>
        <v>3.0601439999999998</v>
      </c>
      <c r="W131" s="28">
        <f t="shared" si="5"/>
        <v>2.4274559999999998</v>
      </c>
      <c r="X131" s="34">
        <f t="shared" si="6"/>
        <v>2.4274559999999998</v>
      </c>
    </row>
    <row r="132" spans="1:24" x14ac:dyDescent="0.25">
      <c r="A132" s="29">
        <v>115</v>
      </c>
      <c r="B132" s="23" t="s">
        <v>145</v>
      </c>
      <c r="C132" s="24">
        <v>0.3382</v>
      </c>
      <c r="D132" s="25">
        <v>0.61150000000000004</v>
      </c>
      <c r="E132" s="26">
        <v>0.30470000000000003</v>
      </c>
      <c r="F132" s="26"/>
      <c r="G132" s="26">
        <f>0.2273+0.0447+0.0396</f>
        <v>0.31160000000000004</v>
      </c>
      <c r="H132" s="26">
        <v>3.8E-3</v>
      </c>
      <c r="I132" s="26">
        <v>1.8800000000000001E-2</v>
      </c>
      <c r="J132" s="26">
        <v>0.84560000000000002</v>
      </c>
      <c r="K132" s="26"/>
      <c r="L132" s="26">
        <v>1.52E-2</v>
      </c>
      <c r="M132" s="26">
        <v>9.4999999999999998E-3</v>
      </c>
      <c r="N132" s="26">
        <v>6.2700000000000006E-2</v>
      </c>
      <c r="O132" s="26"/>
      <c r="P132" s="25">
        <v>2.52</v>
      </c>
      <c r="Q132" s="25">
        <v>2.52</v>
      </c>
      <c r="R132" s="25">
        <v>1.91</v>
      </c>
      <c r="S132" s="25">
        <v>1.91</v>
      </c>
      <c r="T132" s="36">
        <v>1.4403999999999999</v>
      </c>
      <c r="U132" s="28">
        <f t="shared" si="8"/>
        <v>3.6298079999999997</v>
      </c>
      <c r="V132" s="28">
        <f t="shared" si="7"/>
        <v>3.6298079999999997</v>
      </c>
      <c r="W132" s="28">
        <f t="shared" si="5"/>
        <v>2.7511639999999997</v>
      </c>
      <c r="X132" s="34">
        <f t="shared" si="6"/>
        <v>2.7511639999999997</v>
      </c>
    </row>
    <row r="133" spans="1:24" x14ac:dyDescent="0.25">
      <c r="A133" s="39">
        <v>116</v>
      </c>
      <c r="B133" s="40" t="s">
        <v>146</v>
      </c>
      <c r="C133" s="41">
        <v>0.24410000000000001</v>
      </c>
      <c r="D133" s="42">
        <v>0.48509999999999998</v>
      </c>
      <c r="E133" s="43">
        <v>0.28699999999999998</v>
      </c>
      <c r="F133" s="43"/>
      <c r="G133" s="43">
        <f>0.1992+0.0423+0.0343</f>
        <v>0.27579999999999999</v>
      </c>
      <c r="H133" s="43">
        <v>2.5000000000000001E-3</v>
      </c>
      <c r="I133" s="43">
        <v>1.26E-2</v>
      </c>
      <c r="J133" s="43">
        <v>0.89980000000000004</v>
      </c>
      <c r="K133" s="43"/>
      <c r="L133" s="43">
        <v>1.4500000000000001E-2</v>
      </c>
      <c r="M133" s="43">
        <v>6.8999999999999999E-3</v>
      </c>
      <c r="N133" s="43">
        <v>3.5299999999999998E-2</v>
      </c>
      <c r="O133" s="43"/>
      <c r="P133" s="42">
        <v>2.2599999999999998</v>
      </c>
      <c r="Q133" s="42">
        <v>2.2599999999999998</v>
      </c>
      <c r="R133" s="42">
        <v>1.78</v>
      </c>
      <c r="S133" s="42">
        <v>1.78</v>
      </c>
      <c r="T133" s="44">
        <v>1.3056000000000001</v>
      </c>
      <c r="U133" s="45">
        <f t="shared" si="8"/>
        <v>2.9506559999999999</v>
      </c>
      <c r="V133" s="45">
        <f t="shared" si="7"/>
        <v>2.9506559999999999</v>
      </c>
      <c r="W133" s="45">
        <f t="shared" si="5"/>
        <v>2.3239680000000003</v>
      </c>
      <c r="X133" s="46">
        <f t="shared" si="6"/>
        <v>2.3239680000000003</v>
      </c>
    </row>
    <row r="134" spans="1:24" x14ac:dyDescent="0.25">
      <c r="A134" s="22">
        <v>117</v>
      </c>
      <c r="B134" s="23" t="s">
        <v>147</v>
      </c>
      <c r="C134" s="24">
        <v>0.34449999999999997</v>
      </c>
      <c r="D134" s="25">
        <v>0.47189999999999999</v>
      </c>
      <c r="E134" s="26">
        <v>0.32890000000000003</v>
      </c>
      <c r="F134" s="26"/>
      <c r="G134" s="26">
        <f>0.2081+0.0451+0.037</f>
        <v>0.29019999999999996</v>
      </c>
      <c r="H134" s="26">
        <v>2.5999999999999999E-3</v>
      </c>
      <c r="I134" s="26">
        <v>1.3100000000000001E-2</v>
      </c>
      <c r="J134" s="26">
        <v>0.76270000000000004</v>
      </c>
      <c r="K134" s="26"/>
      <c r="L134" s="26">
        <v>1.38E-2</v>
      </c>
      <c r="M134" s="26">
        <v>6.6E-3</v>
      </c>
      <c r="N134" s="26">
        <v>5.4199999999999998E-2</v>
      </c>
      <c r="O134" s="26"/>
      <c r="P134" s="25">
        <v>2.29</v>
      </c>
      <c r="Q134" s="25">
        <v>2.29</v>
      </c>
      <c r="R134" s="25">
        <v>1.82</v>
      </c>
      <c r="S134" s="25">
        <v>1.82</v>
      </c>
      <c r="T134" s="36">
        <v>1.3491</v>
      </c>
      <c r="U134" s="28">
        <f t="shared" si="8"/>
        <v>3.089439</v>
      </c>
      <c r="V134" s="28">
        <f t="shared" si="7"/>
        <v>3.089439</v>
      </c>
      <c r="W134" s="28">
        <f t="shared" si="5"/>
        <v>2.455362</v>
      </c>
      <c r="X134" s="34">
        <f t="shared" si="6"/>
        <v>2.455362</v>
      </c>
    </row>
    <row r="135" spans="1:24" x14ac:dyDescent="0.25">
      <c r="A135" s="29">
        <v>118</v>
      </c>
      <c r="B135" s="23" t="s">
        <v>148</v>
      </c>
      <c r="C135" s="24">
        <v>0.18770000000000001</v>
      </c>
      <c r="D135" s="31">
        <v>0.60199999999999998</v>
      </c>
      <c r="E135" s="26">
        <v>0.29570000000000002</v>
      </c>
      <c r="F135" s="26">
        <v>0.4945</v>
      </c>
      <c r="G135" s="26">
        <f>0.1591+0.0413+0.0338</f>
        <v>0.23419999999999999</v>
      </c>
      <c r="H135" s="26">
        <v>6.9999999999999999E-4</v>
      </c>
      <c r="I135" s="26">
        <v>3.3999999999999998E-3</v>
      </c>
      <c r="J135" s="26">
        <v>1.0810999999999999</v>
      </c>
      <c r="K135" s="26">
        <v>6.8400000000000002E-2</v>
      </c>
      <c r="L135" s="26">
        <v>1.4500000000000001E-2</v>
      </c>
      <c r="M135" s="26">
        <v>1.8E-3</v>
      </c>
      <c r="N135" s="26">
        <v>4.3700000000000003E-2</v>
      </c>
      <c r="O135" s="26">
        <v>0.10589999999999999</v>
      </c>
      <c r="P135" s="25">
        <v>3.13</v>
      </c>
      <c r="Q135" s="25">
        <v>2.46</v>
      </c>
      <c r="R135" s="25">
        <v>2.5299999999999998</v>
      </c>
      <c r="S135" s="25">
        <v>1.86</v>
      </c>
      <c r="T135" s="36">
        <v>1.4549000000000001</v>
      </c>
      <c r="U135" s="28">
        <v>4.5599999999999996</v>
      </c>
      <c r="V135" s="28">
        <v>3.59</v>
      </c>
      <c r="W135" s="28">
        <f t="shared" si="5"/>
        <v>3.6808969999999999</v>
      </c>
      <c r="X135" s="34">
        <f t="shared" si="6"/>
        <v>2.7061140000000004</v>
      </c>
    </row>
    <row r="136" spans="1:24" x14ac:dyDescent="0.25">
      <c r="A136" s="22">
        <v>119</v>
      </c>
      <c r="B136" s="23" t="s">
        <v>149</v>
      </c>
      <c r="C136" s="24">
        <v>0.2412</v>
      </c>
      <c r="D136" s="25">
        <v>0.38179999999999997</v>
      </c>
      <c r="E136" s="26">
        <v>0.32719999999999999</v>
      </c>
      <c r="F136" s="26"/>
      <c r="G136" s="26">
        <f>0.1995+0.0443</f>
        <v>0.24380000000000002</v>
      </c>
      <c r="H136" s="26">
        <v>2.5000000000000001E-3</v>
      </c>
      <c r="I136" s="26">
        <v>1.2699999999999999E-2</v>
      </c>
      <c r="J136" s="26">
        <v>0.93810000000000004</v>
      </c>
      <c r="K136" s="26"/>
      <c r="L136" s="26">
        <v>1.34E-2</v>
      </c>
      <c r="M136" s="26">
        <v>6.8999999999999999E-3</v>
      </c>
      <c r="N136" s="26">
        <v>4.0500000000000001E-2</v>
      </c>
      <c r="O136" s="26"/>
      <c r="P136" s="25">
        <v>2.21</v>
      </c>
      <c r="Q136" s="25">
        <v>2.21</v>
      </c>
      <c r="R136" s="25">
        <v>1.83</v>
      </c>
      <c r="S136" s="25">
        <v>1.83</v>
      </c>
      <c r="T136" s="36">
        <v>1.3743000000000001</v>
      </c>
      <c r="U136" s="28">
        <f t="shared" si="8"/>
        <v>3.0372030000000003</v>
      </c>
      <c r="V136" s="28">
        <f t="shared" si="7"/>
        <v>3.0372030000000003</v>
      </c>
      <c r="W136" s="28">
        <f t="shared" si="5"/>
        <v>2.5149690000000002</v>
      </c>
      <c r="X136" s="34">
        <f t="shared" si="6"/>
        <v>2.5149690000000002</v>
      </c>
    </row>
    <row r="137" spans="1:24" x14ac:dyDescent="0.25">
      <c r="A137" s="22">
        <v>120</v>
      </c>
      <c r="B137" s="23" t="s">
        <v>150</v>
      </c>
      <c r="C137" s="24">
        <v>0.25009999999999999</v>
      </c>
      <c r="D137" s="25">
        <v>0.42949999999999999</v>
      </c>
      <c r="E137" s="26">
        <v>0.34429999999999999</v>
      </c>
      <c r="F137" s="26"/>
      <c r="G137" s="26">
        <f>0.1955+0.0299</f>
        <v>0.22540000000000002</v>
      </c>
      <c r="H137" s="26">
        <v>1E-4</v>
      </c>
      <c r="I137" s="26">
        <v>2.9999999999999997E-4</v>
      </c>
      <c r="J137" s="26">
        <v>0.83779999999999999</v>
      </c>
      <c r="K137" s="26"/>
      <c r="L137" s="26">
        <v>3.6499999999999998E-2</v>
      </c>
      <c r="M137" s="26">
        <v>2.0000000000000001E-4</v>
      </c>
      <c r="N137" s="26">
        <v>5.33E-2</v>
      </c>
      <c r="O137" s="26"/>
      <c r="P137" s="25">
        <v>2.1800000000000002</v>
      </c>
      <c r="Q137" s="25">
        <v>2.1800000000000002</v>
      </c>
      <c r="R137" s="25">
        <v>1.75</v>
      </c>
      <c r="S137" s="25">
        <v>1.75</v>
      </c>
      <c r="T137" s="36">
        <v>1.3778999999999999</v>
      </c>
      <c r="U137" s="28">
        <f t="shared" si="8"/>
        <v>3.003822</v>
      </c>
      <c r="V137" s="28">
        <f t="shared" si="7"/>
        <v>3.003822</v>
      </c>
      <c r="W137" s="28">
        <f t="shared" si="5"/>
        <v>2.4113249999999997</v>
      </c>
      <c r="X137" s="34">
        <f t="shared" si="6"/>
        <v>2.4113249999999997</v>
      </c>
    </row>
    <row r="138" spans="1:24" x14ac:dyDescent="0.25">
      <c r="A138" s="29">
        <v>121</v>
      </c>
      <c r="B138" s="23" t="s">
        <v>151</v>
      </c>
      <c r="C138" s="30">
        <v>0.23499999999999999</v>
      </c>
      <c r="D138" s="25">
        <v>0.41360000000000002</v>
      </c>
      <c r="E138" s="26">
        <v>0.33379999999999999</v>
      </c>
      <c r="F138" s="26"/>
      <c r="G138" s="26">
        <f>0.2267+0.0402+0.0338</f>
        <v>0.30070000000000002</v>
      </c>
      <c r="H138" s="26">
        <v>1.6999999999999999E-3</v>
      </c>
      <c r="I138" s="26">
        <v>8.6999999999999994E-3</v>
      </c>
      <c r="J138" s="26">
        <v>0.95150000000000001</v>
      </c>
      <c r="K138" s="26"/>
      <c r="L138" s="26">
        <v>1.6199999999999999E-2</v>
      </c>
      <c r="M138" s="26">
        <v>4.8999999999999998E-3</v>
      </c>
      <c r="N138" s="26">
        <v>2.5899999999999999E-2</v>
      </c>
      <c r="O138" s="26"/>
      <c r="P138" s="25">
        <v>2.29</v>
      </c>
      <c r="Q138" s="25">
        <v>2.29</v>
      </c>
      <c r="R138" s="25">
        <v>1.88</v>
      </c>
      <c r="S138" s="25">
        <v>1.88</v>
      </c>
      <c r="T138" s="36">
        <v>1.3173999999999999</v>
      </c>
      <c r="U138" s="28">
        <f t="shared" si="8"/>
        <v>3.0168459999999997</v>
      </c>
      <c r="V138" s="28">
        <f t="shared" si="7"/>
        <v>3.0168459999999997</v>
      </c>
      <c r="W138" s="28">
        <f t="shared" si="5"/>
        <v>2.4767119999999996</v>
      </c>
      <c r="X138" s="34">
        <f t="shared" si="6"/>
        <v>2.4767119999999996</v>
      </c>
    </row>
    <row r="139" spans="1:24" x14ac:dyDescent="0.25">
      <c r="A139" s="22">
        <v>122</v>
      </c>
      <c r="B139" s="40" t="s">
        <v>152</v>
      </c>
      <c r="C139" s="41">
        <v>0.1386</v>
      </c>
      <c r="D139" s="42"/>
      <c r="E139" s="43">
        <v>0.4214</v>
      </c>
      <c r="F139" s="43"/>
      <c r="G139" s="43">
        <f>0.2167+0.0433</f>
        <v>0.26</v>
      </c>
      <c r="H139" s="43">
        <v>2.0000000000000001E-4</v>
      </c>
      <c r="I139" s="43">
        <v>1E-3</v>
      </c>
      <c r="J139" s="43">
        <v>0.74950000000000006</v>
      </c>
      <c r="K139" s="43"/>
      <c r="L139" s="43">
        <v>2.8199999999999999E-2</v>
      </c>
      <c r="M139" s="43">
        <v>5.0000000000000001E-4</v>
      </c>
      <c r="N139" s="43">
        <v>3.4000000000000002E-2</v>
      </c>
      <c r="O139" s="43"/>
      <c r="P139" s="42"/>
      <c r="Q139" s="42"/>
      <c r="R139" s="42">
        <v>1.63</v>
      </c>
      <c r="S139" s="42">
        <v>1.63</v>
      </c>
      <c r="T139" s="44">
        <v>1.5181</v>
      </c>
      <c r="U139" s="45"/>
      <c r="V139" s="45"/>
      <c r="W139" s="45">
        <v>2.48</v>
      </c>
      <c r="X139" s="46">
        <v>2.48</v>
      </c>
    </row>
    <row r="140" spans="1:24" x14ac:dyDescent="0.25">
      <c r="A140" s="22">
        <v>123</v>
      </c>
      <c r="B140" s="23" t="s">
        <v>153</v>
      </c>
      <c r="C140" s="24">
        <v>0.44119999999999998</v>
      </c>
      <c r="D140" s="25">
        <v>0.37040000000000001</v>
      </c>
      <c r="E140" s="26">
        <v>0.34839999999999999</v>
      </c>
      <c r="F140" s="26"/>
      <c r="G140" s="26">
        <f>0.2344+0.0453+0.0372</f>
        <v>0.31690000000000002</v>
      </c>
      <c r="H140" s="26">
        <v>3.0999999999999999E-3</v>
      </c>
      <c r="I140" s="26">
        <v>1.5699999999999999E-2</v>
      </c>
      <c r="J140" s="26">
        <v>0.75239999999999996</v>
      </c>
      <c r="K140" s="26"/>
      <c r="L140" s="26">
        <v>1.61E-2</v>
      </c>
      <c r="M140" s="26">
        <v>7.9000000000000008E-3</v>
      </c>
      <c r="N140" s="26">
        <v>4.8800000000000003E-2</v>
      </c>
      <c r="O140" s="26"/>
      <c r="P140" s="25">
        <v>2.3199999999999998</v>
      </c>
      <c r="Q140" s="25">
        <v>2.3199999999999998</v>
      </c>
      <c r="R140" s="25">
        <v>1.95</v>
      </c>
      <c r="S140" s="25">
        <v>1.95</v>
      </c>
      <c r="T140" s="36">
        <v>1.4187000000000001</v>
      </c>
      <c r="U140" s="28">
        <f t="shared" si="8"/>
        <v>3.2913839999999999</v>
      </c>
      <c r="V140" s="28">
        <f t="shared" si="7"/>
        <v>3.2913839999999999</v>
      </c>
      <c r="W140" s="28">
        <f t="shared" si="5"/>
        <v>2.7664650000000002</v>
      </c>
      <c r="X140" s="34">
        <f t="shared" si="6"/>
        <v>2.7664650000000002</v>
      </c>
    </row>
    <row r="141" spans="1:24" x14ac:dyDescent="0.25">
      <c r="A141" s="29">
        <v>124</v>
      </c>
      <c r="B141" s="23" t="s">
        <v>154</v>
      </c>
      <c r="C141" s="24">
        <v>0.22320000000000001</v>
      </c>
      <c r="D141" s="25">
        <v>0.47060000000000002</v>
      </c>
      <c r="E141" s="26">
        <v>0.2732</v>
      </c>
      <c r="F141" s="26"/>
      <c r="G141" s="26">
        <f>0.2051+0.0305</f>
        <v>0.2356</v>
      </c>
      <c r="H141" s="26"/>
      <c r="I141" s="26">
        <v>2.0000000000000001E-4</v>
      </c>
      <c r="J141" s="26">
        <v>0.86329999999999996</v>
      </c>
      <c r="K141" s="26"/>
      <c r="L141" s="26">
        <v>3.6400000000000002E-2</v>
      </c>
      <c r="M141" s="26">
        <v>1E-4</v>
      </c>
      <c r="N141" s="26">
        <v>0.12379999999999999</v>
      </c>
      <c r="O141" s="26"/>
      <c r="P141" s="25">
        <v>2.23</v>
      </c>
      <c r="Q141" s="25">
        <v>2.23</v>
      </c>
      <c r="R141" s="25">
        <v>1.76</v>
      </c>
      <c r="S141" s="25">
        <v>1.76</v>
      </c>
      <c r="T141" s="36">
        <v>1.4542999999999999</v>
      </c>
      <c r="U141" s="28">
        <f t="shared" si="8"/>
        <v>3.2430889999999999</v>
      </c>
      <c r="V141" s="28">
        <f t="shared" si="7"/>
        <v>3.2430889999999999</v>
      </c>
      <c r="W141" s="28">
        <f t="shared" si="5"/>
        <v>2.5595680000000001</v>
      </c>
      <c r="X141" s="34">
        <f t="shared" si="6"/>
        <v>2.5595680000000001</v>
      </c>
    </row>
    <row r="142" spans="1:24" x14ac:dyDescent="0.25">
      <c r="A142" s="22">
        <v>125</v>
      </c>
      <c r="B142" s="23" t="s">
        <v>155</v>
      </c>
      <c r="C142" s="24">
        <v>0.26640000000000003</v>
      </c>
      <c r="D142" s="25">
        <v>0.34300000000000003</v>
      </c>
      <c r="E142" s="26">
        <v>0.66020000000000001</v>
      </c>
      <c r="F142" s="26"/>
      <c r="G142" s="26">
        <f>0.0935+0.0458+0.0367</f>
        <v>0.17600000000000002</v>
      </c>
      <c r="H142" s="26">
        <v>2.5000000000000001E-3</v>
      </c>
      <c r="I142" s="26">
        <v>1.2699999999999999E-2</v>
      </c>
      <c r="J142" s="26">
        <v>0.69699999999999995</v>
      </c>
      <c r="K142" s="26"/>
      <c r="L142" s="26">
        <v>9.1999999999999998E-3</v>
      </c>
      <c r="M142" s="26">
        <v>6.4000000000000003E-3</v>
      </c>
      <c r="N142" s="26">
        <v>0.1019</v>
      </c>
      <c r="O142" s="26"/>
      <c r="P142" s="25">
        <v>2.2799999999999998</v>
      </c>
      <c r="Q142" s="25">
        <v>2.2799999999999998</v>
      </c>
      <c r="R142" s="25">
        <v>1.93</v>
      </c>
      <c r="S142" s="25">
        <v>1.93</v>
      </c>
      <c r="T142" s="36">
        <v>1.4663999999999999</v>
      </c>
      <c r="U142" s="28">
        <f t="shared" si="8"/>
        <v>3.3433919999999997</v>
      </c>
      <c r="V142" s="28">
        <f t="shared" si="7"/>
        <v>3.3433919999999997</v>
      </c>
      <c r="W142" s="28">
        <f t="shared" si="5"/>
        <v>2.8301519999999996</v>
      </c>
      <c r="X142" s="34">
        <f t="shared" si="6"/>
        <v>2.8301519999999996</v>
      </c>
    </row>
    <row r="143" spans="1:24" x14ac:dyDescent="0.25">
      <c r="A143" s="22">
        <v>126</v>
      </c>
      <c r="B143" s="23" t="s">
        <v>156</v>
      </c>
      <c r="C143" s="24">
        <v>0.51719999999999999</v>
      </c>
      <c r="D143" s="25">
        <v>0.47470000000000001</v>
      </c>
      <c r="E143" s="26">
        <v>0.3226</v>
      </c>
      <c r="F143" s="26"/>
      <c r="G143" s="26">
        <f>0.2222+0.033</f>
        <v>0.25519999999999998</v>
      </c>
      <c r="H143" s="26">
        <v>2.7000000000000001E-3</v>
      </c>
      <c r="I143" s="26">
        <v>1.37E-2</v>
      </c>
      <c r="J143" s="26">
        <v>0.65300000000000002</v>
      </c>
      <c r="K143" s="26"/>
      <c r="L143" s="26">
        <v>3.6700000000000003E-2</v>
      </c>
      <c r="M143" s="26">
        <v>7.7000000000000002E-3</v>
      </c>
      <c r="N143" s="26">
        <v>0.111</v>
      </c>
      <c r="O143" s="26"/>
      <c r="P143" s="25">
        <v>2.39</v>
      </c>
      <c r="Q143" s="25">
        <v>2.39</v>
      </c>
      <c r="R143" s="25">
        <v>1.92</v>
      </c>
      <c r="S143" s="25">
        <v>1.92</v>
      </c>
      <c r="T143" s="36">
        <v>1.4410000000000001</v>
      </c>
      <c r="U143" s="28">
        <f t="shared" si="8"/>
        <v>3.4439900000000003</v>
      </c>
      <c r="V143" s="28">
        <f t="shared" si="7"/>
        <v>3.4439900000000003</v>
      </c>
      <c r="W143" s="28">
        <f t="shared" si="5"/>
        <v>2.7667199999999998</v>
      </c>
      <c r="X143" s="34">
        <f t="shared" si="6"/>
        <v>2.7667199999999998</v>
      </c>
    </row>
    <row r="144" spans="1:24" x14ac:dyDescent="0.25">
      <c r="A144" s="29">
        <v>127</v>
      </c>
      <c r="B144" s="23" t="s">
        <v>157</v>
      </c>
      <c r="C144" s="24">
        <v>0.14410000000000001</v>
      </c>
      <c r="D144" s="25">
        <v>0.38469999999999999</v>
      </c>
      <c r="E144" s="26">
        <v>0.29260000000000003</v>
      </c>
      <c r="F144" s="26"/>
      <c r="G144" s="26">
        <f>0.1406+0.0284+0.0256</f>
        <v>0.19460000000000002</v>
      </c>
      <c r="H144" s="26">
        <v>1.5E-3</v>
      </c>
      <c r="I144" s="26">
        <v>7.7000000000000002E-3</v>
      </c>
      <c r="J144" s="26">
        <v>1.1931</v>
      </c>
      <c r="K144" s="26"/>
      <c r="L144" s="26">
        <v>1.4E-2</v>
      </c>
      <c r="M144" s="26">
        <v>5.7000000000000002E-3</v>
      </c>
      <c r="N144" s="26">
        <v>2.1700000000000001E-2</v>
      </c>
      <c r="O144" s="26"/>
      <c r="P144" s="25">
        <v>2.2599999999999998</v>
      </c>
      <c r="Q144" s="25">
        <v>2.2599999999999998</v>
      </c>
      <c r="R144" s="25">
        <v>1.87</v>
      </c>
      <c r="S144" s="25">
        <v>1.87</v>
      </c>
      <c r="T144" s="36">
        <v>1.2881</v>
      </c>
      <c r="U144" s="28">
        <f t="shared" si="8"/>
        <v>2.9111059999999997</v>
      </c>
      <c r="V144" s="28">
        <f t="shared" si="7"/>
        <v>2.9111059999999997</v>
      </c>
      <c r="W144" s="28">
        <f t="shared" si="5"/>
        <v>2.408747</v>
      </c>
      <c r="X144" s="34">
        <f t="shared" si="6"/>
        <v>2.408747</v>
      </c>
    </row>
    <row r="145" spans="1:24" x14ac:dyDescent="0.25">
      <c r="A145" s="22">
        <v>128</v>
      </c>
      <c r="B145" s="23" t="s">
        <v>158</v>
      </c>
      <c r="C145" s="24">
        <v>0.34660000000000002</v>
      </c>
      <c r="D145" s="25">
        <v>0.38450000000000001</v>
      </c>
      <c r="E145" s="26">
        <v>0.3211</v>
      </c>
      <c r="F145" s="26"/>
      <c r="G145" s="26">
        <f>0.2345+0.0453+0.0369</f>
        <v>0.31669999999999998</v>
      </c>
      <c r="H145" s="26">
        <v>3.3E-3</v>
      </c>
      <c r="I145" s="26">
        <v>1.6299999999999999E-2</v>
      </c>
      <c r="J145" s="26">
        <v>0.85070000000000001</v>
      </c>
      <c r="K145" s="26"/>
      <c r="L145" s="26">
        <v>1.61E-2</v>
      </c>
      <c r="M145" s="26">
        <v>8.2000000000000007E-3</v>
      </c>
      <c r="N145" s="26">
        <v>2.0500000000000001E-2</v>
      </c>
      <c r="O145" s="26"/>
      <c r="P145" s="25">
        <v>2.2799999999999998</v>
      </c>
      <c r="Q145" s="25">
        <v>2.2799999999999998</v>
      </c>
      <c r="R145" s="25">
        <v>1.9</v>
      </c>
      <c r="S145" s="25">
        <v>1.9</v>
      </c>
      <c r="T145" s="36">
        <v>1.2958000000000001</v>
      </c>
      <c r="U145" s="28">
        <f t="shared" si="8"/>
        <v>2.9544239999999999</v>
      </c>
      <c r="V145" s="28">
        <f t="shared" si="7"/>
        <v>2.9544239999999999</v>
      </c>
      <c r="W145" s="28">
        <f t="shared" si="5"/>
        <v>2.4620199999999999</v>
      </c>
      <c r="X145" s="34">
        <f t="shared" si="6"/>
        <v>2.4620199999999999</v>
      </c>
    </row>
    <row r="146" spans="1:24" x14ac:dyDescent="0.25">
      <c r="A146" s="22">
        <v>129</v>
      </c>
      <c r="B146" s="23" t="s">
        <v>159</v>
      </c>
      <c r="C146" s="24">
        <v>0.4909</v>
      </c>
      <c r="D146" s="25">
        <v>0.38319999999999999</v>
      </c>
      <c r="E146" s="26">
        <v>0.31780000000000003</v>
      </c>
      <c r="F146" s="26"/>
      <c r="G146" s="26">
        <f>0.228+0.044+0.0358</f>
        <v>0.30780000000000002</v>
      </c>
      <c r="H146" s="26">
        <v>2.7000000000000001E-3</v>
      </c>
      <c r="I146" s="26">
        <v>1.3299999999999999E-2</v>
      </c>
      <c r="J146" s="26">
        <v>0.82669999999999999</v>
      </c>
      <c r="K146" s="26"/>
      <c r="L146" s="26">
        <v>1.5699999999999999E-2</v>
      </c>
      <c r="M146" s="26">
        <v>6.8999999999999999E-3</v>
      </c>
      <c r="N146" s="26">
        <v>2.1499999999999998E-2</v>
      </c>
      <c r="O146" s="26"/>
      <c r="P146" s="25">
        <v>2.39</v>
      </c>
      <c r="Q146" s="25">
        <v>2.39</v>
      </c>
      <c r="R146" s="28">
        <v>2</v>
      </c>
      <c r="S146" s="28">
        <v>2</v>
      </c>
      <c r="T146" s="36">
        <v>1.2665999999999999</v>
      </c>
      <c r="U146" s="28">
        <f t="shared" si="8"/>
        <v>3.027174</v>
      </c>
      <c r="V146" s="28">
        <f t="shared" si="7"/>
        <v>3.027174</v>
      </c>
      <c r="W146" s="28">
        <f t="shared" si="5"/>
        <v>2.5331999999999999</v>
      </c>
      <c r="X146" s="34">
        <f t="shared" si="6"/>
        <v>2.5331999999999999</v>
      </c>
    </row>
    <row r="147" spans="1:24" x14ac:dyDescent="0.25">
      <c r="A147" s="29">
        <v>130</v>
      </c>
      <c r="B147" s="23" t="s">
        <v>160</v>
      </c>
      <c r="C147" s="30">
        <v>0.47449999999999998</v>
      </c>
      <c r="D147" s="31">
        <v>0.4677</v>
      </c>
      <c r="E147" s="26">
        <v>0.34200000000000003</v>
      </c>
      <c r="F147" s="26"/>
      <c r="G147" s="26">
        <f>0.205+0.0447+0.0386</f>
        <v>0.2883</v>
      </c>
      <c r="H147" s="26">
        <v>3.2000000000000002E-3</v>
      </c>
      <c r="I147" s="26">
        <v>1.5900000000000001E-2</v>
      </c>
      <c r="J147" s="26">
        <v>0.75270000000000004</v>
      </c>
      <c r="K147" s="26"/>
      <c r="L147" s="26">
        <v>1.37E-2</v>
      </c>
      <c r="M147" s="26">
        <v>8.0000000000000002E-3</v>
      </c>
      <c r="N147" s="26">
        <v>3.32E-2</v>
      </c>
      <c r="O147" s="26"/>
      <c r="P147" s="28">
        <v>2.4</v>
      </c>
      <c r="Q147" s="25">
        <v>2.4</v>
      </c>
      <c r="R147" s="25">
        <v>1.93</v>
      </c>
      <c r="S147" s="25">
        <v>1.93</v>
      </c>
      <c r="T147" s="36">
        <v>1.3183</v>
      </c>
      <c r="U147" s="28">
        <f t="shared" si="8"/>
        <v>3.1639200000000001</v>
      </c>
      <c r="V147" s="28">
        <f t="shared" si="7"/>
        <v>3.1639200000000001</v>
      </c>
      <c r="W147" s="28">
        <f t="shared" ref="W147:W210" si="9">R147*T147</f>
        <v>2.5443189999999998</v>
      </c>
      <c r="X147" s="34">
        <f t="shared" ref="X147:X214" si="10">S147*T147</f>
        <v>2.5443189999999998</v>
      </c>
    </row>
    <row r="148" spans="1:24" x14ac:dyDescent="0.25">
      <c r="A148" s="22">
        <v>131</v>
      </c>
      <c r="B148" s="23" t="s">
        <v>161</v>
      </c>
      <c r="C148" s="24">
        <v>0.49049999999999999</v>
      </c>
      <c r="D148" s="31">
        <v>0.48</v>
      </c>
      <c r="E148" s="26">
        <v>0.3634</v>
      </c>
      <c r="F148" s="26"/>
      <c r="G148" s="26">
        <f>0.2132+0.045+0.0387</f>
        <v>0.2969</v>
      </c>
      <c r="H148" s="26">
        <v>2.5999999999999999E-3</v>
      </c>
      <c r="I148" s="26">
        <v>1.29E-2</v>
      </c>
      <c r="J148" s="26">
        <v>0.72870000000000001</v>
      </c>
      <c r="K148" s="26"/>
      <c r="L148" s="26">
        <v>1.43E-2</v>
      </c>
      <c r="M148" s="26">
        <v>6.6E-3</v>
      </c>
      <c r="N148" s="26">
        <v>3.4700000000000002E-2</v>
      </c>
      <c r="O148" s="26"/>
      <c r="P148" s="25">
        <v>2.4300000000000002</v>
      </c>
      <c r="Q148" s="25">
        <v>2.4300000000000002</v>
      </c>
      <c r="R148" s="25">
        <v>1.95</v>
      </c>
      <c r="S148" s="25">
        <v>1.95</v>
      </c>
      <c r="T148" s="36">
        <v>1.2922</v>
      </c>
      <c r="U148" s="28">
        <f t="shared" si="8"/>
        <v>3.1400460000000003</v>
      </c>
      <c r="V148" s="28">
        <f t="shared" ref="V148:V205" si="11">Q148*T148</f>
        <v>3.1400460000000003</v>
      </c>
      <c r="W148" s="28">
        <f t="shared" si="9"/>
        <v>2.51979</v>
      </c>
      <c r="X148" s="34">
        <f t="shared" si="10"/>
        <v>2.51979</v>
      </c>
    </row>
    <row r="149" spans="1:24" x14ac:dyDescent="0.25">
      <c r="A149" s="22">
        <v>132</v>
      </c>
      <c r="B149" s="23" t="s">
        <v>162</v>
      </c>
      <c r="C149" s="24">
        <v>0.40450000000000003</v>
      </c>
      <c r="D149" s="25">
        <v>1.0555000000000001</v>
      </c>
      <c r="E149" s="26">
        <v>0.4304</v>
      </c>
      <c r="F149" s="26"/>
      <c r="G149" s="26">
        <f>0.3411+0.0451+0.0385</f>
        <v>0.42469999999999997</v>
      </c>
      <c r="H149" s="26">
        <v>2.8999999999999998E-3</v>
      </c>
      <c r="I149" s="26">
        <v>1.43E-2</v>
      </c>
      <c r="J149" s="26">
        <v>0.5806</v>
      </c>
      <c r="K149" s="26"/>
      <c r="L149" s="26">
        <v>2.3099999999999999E-2</v>
      </c>
      <c r="M149" s="26">
        <v>7.1999999999999998E-3</v>
      </c>
      <c r="N149" s="26">
        <v>9.2600000000000002E-2</v>
      </c>
      <c r="O149" s="26"/>
      <c r="P149" s="25">
        <v>3.04</v>
      </c>
      <c r="Q149" s="25">
        <v>3.04</v>
      </c>
      <c r="R149" s="25">
        <v>1.98</v>
      </c>
      <c r="S149" s="25">
        <v>1.98</v>
      </c>
      <c r="T149" s="36">
        <v>1.4565999999999999</v>
      </c>
      <c r="U149" s="28">
        <f t="shared" si="8"/>
        <v>4.428064</v>
      </c>
      <c r="V149" s="28">
        <f t="shared" si="11"/>
        <v>4.428064</v>
      </c>
      <c r="W149" s="28">
        <f t="shared" si="9"/>
        <v>2.8840679999999996</v>
      </c>
      <c r="X149" s="34">
        <f t="shared" si="10"/>
        <v>2.8840679999999996</v>
      </c>
    </row>
    <row r="150" spans="1:24" x14ac:dyDescent="0.25">
      <c r="A150" s="29">
        <v>133</v>
      </c>
      <c r="B150" s="23" t="s">
        <v>163</v>
      </c>
      <c r="C150" s="24">
        <v>0.2366</v>
      </c>
      <c r="D150" s="31">
        <v>0.624</v>
      </c>
      <c r="E150" s="26">
        <v>0.20549999999999999</v>
      </c>
      <c r="F150" s="26"/>
      <c r="G150" s="26">
        <f>0.1349+0.036</f>
        <v>0.1709</v>
      </c>
      <c r="H150" s="26">
        <v>2.5000000000000001E-3</v>
      </c>
      <c r="I150" s="26">
        <v>1.26E-2</v>
      </c>
      <c r="J150" s="26">
        <v>1.0556000000000001</v>
      </c>
      <c r="K150" s="26"/>
      <c r="L150" s="26">
        <v>3.5499999999999997E-2</v>
      </c>
      <c r="M150" s="26">
        <v>7.4999999999999997E-3</v>
      </c>
      <c r="N150" s="26">
        <v>1.9900000000000001E-2</v>
      </c>
      <c r="O150" s="26"/>
      <c r="P150" s="25">
        <v>2.37</v>
      </c>
      <c r="Q150" s="25">
        <v>2.37</v>
      </c>
      <c r="R150" s="25">
        <v>1.75</v>
      </c>
      <c r="S150" s="25">
        <v>1.75</v>
      </c>
      <c r="T150" s="36">
        <v>1.2808999999999999</v>
      </c>
      <c r="U150" s="28">
        <f t="shared" si="8"/>
        <v>3.035733</v>
      </c>
      <c r="V150" s="28">
        <f t="shared" si="11"/>
        <v>3.035733</v>
      </c>
      <c r="W150" s="28">
        <f t="shared" si="9"/>
        <v>2.2415750000000001</v>
      </c>
      <c r="X150" s="34">
        <f t="shared" si="10"/>
        <v>2.2415750000000001</v>
      </c>
    </row>
    <row r="151" spans="1:24" x14ac:dyDescent="0.25">
      <c r="A151" s="22">
        <v>134</v>
      </c>
      <c r="B151" s="23" t="s">
        <v>164</v>
      </c>
      <c r="C151" s="24">
        <v>0.40350000000000003</v>
      </c>
      <c r="D151" s="25">
        <v>0.64139999999999997</v>
      </c>
      <c r="E151" s="26">
        <v>0.22159999999999999</v>
      </c>
      <c r="F151" s="26"/>
      <c r="G151" s="26">
        <f>0.1481+0.0353</f>
        <v>0.18340000000000001</v>
      </c>
      <c r="H151" s="26">
        <v>1.9E-3</v>
      </c>
      <c r="I151" s="26">
        <v>9.4999999999999998E-3</v>
      </c>
      <c r="J151" s="26">
        <v>0.93899999999999995</v>
      </c>
      <c r="K151" s="26"/>
      <c r="L151" s="26">
        <v>3.7900000000000003E-2</v>
      </c>
      <c r="M151" s="26">
        <v>5.7000000000000002E-3</v>
      </c>
      <c r="N151" s="26">
        <v>2.0400000000000001E-2</v>
      </c>
      <c r="O151" s="26"/>
      <c r="P151" s="25">
        <v>2.46</v>
      </c>
      <c r="Q151" s="25">
        <v>2.46</v>
      </c>
      <c r="R151" s="25">
        <v>1.82</v>
      </c>
      <c r="S151" s="25">
        <v>1.82</v>
      </c>
      <c r="T151" s="36">
        <v>1.2994000000000001</v>
      </c>
      <c r="U151" s="28">
        <f t="shared" si="8"/>
        <v>3.1965240000000001</v>
      </c>
      <c r="V151" s="28">
        <f t="shared" si="11"/>
        <v>3.1965240000000001</v>
      </c>
      <c r="W151" s="28">
        <f t="shared" si="9"/>
        <v>2.3649080000000002</v>
      </c>
      <c r="X151" s="34">
        <f t="shared" si="10"/>
        <v>2.3649080000000002</v>
      </c>
    </row>
    <row r="152" spans="1:24" x14ac:dyDescent="0.25">
      <c r="A152" s="22">
        <v>135</v>
      </c>
      <c r="B152" s="23" t="s">
        <v>165</v>
      </c>
      <c r="C152" s="24">
        <v>0.42480000000000001</v>
      </c>
      <c r="D152" s="25">
        <v>0.35410000000000003</v>
      </c>
      <c r="E152" s="26">
        <v>0.26690000000000003</v>
      </c>
      <c r="F152" s="26"/>
      <c r="G152" s="26">
        <f>0.2222+0.0388</f>
        <v>0.26100000000000001</v>
      </c>
      <c r="H152" s="26"/>
      <c r="I152" s="26">
        <v>2.0000000000000001E-4</v>
      </c>
      <c r="J152" s="26">
        <v>0.74980000000000002</v>
      </c>
      <c r="K152" s="26"/>
      <c r="L152" s="26">
        <v>5.3100000000000001E-2</v>
      </c>
      <c r="M152" s="26">
        <v>1E-4</v>
      </c>
      <c r="N152" s="26">
        <v>7.9699999999999993E-2</v>
      </c>
      <c r="O152" s="26"/>
      <c r="P152" s="25">
        <v>2.19</v>
      </c>
      <c r="Q152" s="25">
        <v>2.19</v>
      </c>
      <c r="R152" s="25">
        <v>1.84</v>
      </c>
      <c r="S152" s="25">
        <v>1.84</v>
      </c>
      <c r="T152" s="36">
        <v>1.3571</v>
      </c>
      <c r="U152" s="28">
        <f t="shared" si="8"/>
        <v>2.9720489999999997</v>
      </c>
      <c r="V152" s="28">
        <f t="shared" si="11"/>
        <v>2.9720489999999997</v>
      </c>
      <c r="W152" s="28">
        <f t="shared" si="9"/>
        <v>2.497064</v>
      </c>
      <c r="X152" s="34">
        <f t="shared" si="10"/>
        <v>2.497064</v>
      </c>
    </row>
    <row r="153" spans="1:24" x14ac:dyDescent="0.25">
      <c r="A153" s="29">
        <v>136</v>
      </c>
      <c r="B153" s="23" t="s">
        <v>166</v>
      </c>
      <c r="C153" s="24">
        <v>0.45050000000000001</v>
      </c>
      <c r="D153" s="25">
        <v>0.4178</v>
      </c>
      <c r="E153" s="26">
        <v>0.33489999999999998</v>
      </c>
      <c r="F153" s="26"/>
      <c r="G153" s="26">
        <f>0.1622+0.038</f>
        <v>0.20020000000000002</v>
      </c>
      <c r="H153" s="26">
        <v>1.6000000000000001E-3</v>
      </c>
      <c r="I153" s="26">
        <v>7.7999999999999996E-3</v>
      </c>
      <c r="J153" s="26">
        <v>0.76270000000000004</v>
      </c>
      <c r="K153" s="26"/>
      <c r="L153" s="26">
        <v>0.04</v>
      </c>
      <c r="M153" s="26">
        <v>4.1999999999999997E-3</v>
      </c>
      <c r="N153" s="26">
        <v>5.6500000000000002E-2</v>
      </c>
      <c r="O153" s="26"/>
      <c r="P153" s="25">
        <v>2.2799999999999998</v>
      </c>
      <c r="Q153" s="25">
        <v>2.2799999999999998</v>
      </c>
      <c r="R153" s="25">
        <v>1.86</v>
      </c>
      <c r="S153" s="25">
        <v>1.86</v>
      </c>
      <c r="T153" s="36">
        <v>1.3354999999999999</v>
      </c>
      <c r="U153" s="28">
        <f t="shared" si="8"/>
        <v>3.0449399999999995</v>
      </c>
      <c r="V153" s="28">
        <f t="shared" si="11"/>
        <v>3.0449399999999995</v>
      </c>
      <c r="W153" s="28">
        <f t="shared" si="9"/>
        <v>2.4840300000000002</v>
      </c>
      <c r="X153" s="34">
        <f t="shared" si="10"/>
        <v>2.4840300000000002</v>
      </c>
    </row>
    <row r="154" spans="1:24" x14ac:dyDescent="0.25">
      <c r="A154" s="22">
        <v>137</v>
      </c>
      <c r="B154" s="23" t="s">
        <v>167</v>
      </c>
      <c r="C154" s="24">
        <v>0.40689999999999998</v>
      </c>
      <c r="D154" s="25">
        <v>0.38269999999999998</v>
      </c>
      <c r="E154" s="26">
        <v>0.37280000000000002</v>
      </c>
      <c r="F154" s="26"/>
      <c r="G154" s="26">
        <f>0.2338+0.0451+0.0334</f>
        <v>0.31230000000000002</v>
      </c>
      <c r="H154" s="26">
        <v>3.2000000000000002E-3</v>
      </c>
      <c r="I154" s="26">
        <v>1.5900000000000001E-2</v>
      </c>
      <c r="J154" s="26">
        <v>0.72350000000000003</v>
      </c>
      <c r="K154" s="26"/>
      <c r="L154" s="26">
        <v>1.6E-2</v>
      </c>
      <c r="M154" s="26">
        <v>8.0000000000000002E-3</v>
      </c>
      <c r="N154" s="26">
        <v>1.6E-2</v>
      </c>
      <c r="O154" s="26"/>
      <c r="P154" s="25">
        <v>2.2599999999999998</v>
      </c>
      <c r="Q154" s="25">
        <v>2.2599999999999998</v>
      </c>
      <c r="R154" s="25">
        <v>1.87</v>
      </c>
      <c r="S154" s="25">
        <v>1.87</v>
      </c>
      <c r="T154" s="36">
        <v>1.3030999999999999</v>
      </c>
      <c r="U154" s="28">
        <v>2.94</v>
      </c>
      <c r="V154" s="28">
        <v>2.94</v>
      </c>
      <c r="W154" s="28">
        <f t="shared" si="9"/>
        <v>2.4367969999999999</v>
      </c>
      <c r="X154" s="34">
        <f t="shared" si="10"/>
        <v>2.4367969999999999</v>
      </c>
    </row>
    <row r="155" spans="1:24" x14ac:dyDescent="0.25">
      <c r="A155" s="22">
        <v>138</v>
      </c>
      <c r="B155" s="23" t="s">
        <v>168</v>
      </c>
      <c r="C155" s="24">
        <v>0.31019999999999998</v>
      </c>
      <c r="D155" s="25">
        <v>0.50929999999999997</v>
      </c>
      <c r="E155" s="26">
        <v>0.33860000000000001</v>
      </c>
      <c r="F155" s="26">
        <v>0.62080000000000002</v>
      </c>
      <c r="G155" s="26">
        <f>0.1821+0.0431+0.0355</f>
        <v>0.26069999999999999</v>
      </c>
      <c r="H155" s="26">
        <v>1.4E-3</v>
      </c>
      <c r="I155" s="26">
        <v>7.0000000000000001E-3</v>
      </c>
      <c r="J155" s="26">
        <v>0.80269999999999997</v>
      </c>
      <c r="K155" s="26">
        <v>6.8400000000000002E-2</v>
      </c>
      <c r="L155" s="26">
        <v>1.2999999999999999E-2</v>
      </c>
      <c r="M155" s="26">
        <v>3.7000000000000002E-3</v>
      </c>
      <c r="N155" s="26">
        <v>6.8400000000000002E-2</v>
      </c>
      <c r="O155" s="26">
        <v>8.8200000000000001E-2</v>
      </c>
      <c r="P155" s="25">
        <v>3.09</v>
      </c>
      <c r="Q155" s="25">
        <v>2.31</v>
      </c>
      <c r="R155" s="25">
        <v>2.58</v>
      </c>
      <c r="S155" s="25">
        <v>1.81</v>
      </c>
      <c r="T155" s="36">
        <v>1.3552999999999999</v>
      </c>
      <c r="U155" s="28">
        <f t="shared" si="8"/>
        <v>4.1878769999999994</v>
      </c>
      <c r="V155" s="28">
        <v>3.14</v>
      </c>
      <c r="W155" s="28">
        <f t="shared" si="9"/>
        <v>3.4966740000000001</v>
      </c>
      <c r="X155" s="34">
        <f t="shared" si="10"/>
        <v>2.453093</v>
      </c>
    </row>
    <row r="156" spans="1:24" x14ac:dyDescent="0.25">
      <c r="A156" s="29">
        <v>139</v>
      </c>
      <c r="B156" s="23" t="s">
        <v>169</v>
      </c>
      <c r="C156" s="24">
        <v>0.36109999999999998</v>
      </c>
      <c r="D156" s="25">
        <v>0.86580000000000001</v>
      </c>
      <c r="E156" s="26">
        <v>0.252</v>
      </c>
      <c r="F156" s="26">
        <v>0.53390000000000004</v>
      </c>
      <c r="G156" s="26">
        <f>0.115+0.0442+0.0383</f>
        <v>0.19750000000000001</v>
      </c>
      <c r="H156" s="26">
        <v>1E-3</v>
      </c>
      <c r="I156" s="26">
        <v>5.0000000000000001E-3</v>
      </c>
      <c r="J156" s="26">
        <v>0.86670000000000003</v>
      </c>
      <c r="K156" s="26">
        <v>6.8400000000000002E-2</v>
      </c>
      <c r="L156" s="26">
        <v>5.8999999999999999E-3</v>
      </c>
      <c r="M156" s="26">
        <v>2.5000000000000001E-3</v>
      </c>
      <c r="N156" s="26">
        <v>5.1900000000000002E-2</v>
      </c>
      <c r="O156" s="26">
        <v>7.2800000000000004E-2</v>
      </c>
      <c r="P156" s="25">
        <v>3.28</v>
      </c>
      <c r="Q156" s="25">
        <v>2.61</v>
      </c>
      <c r="R156" s="25">
        <v>2.42</v>
      </c>
      <c r="S156" s="25">
        <v>1.74</v>
      </c>
      <c r="T156" s="35">
        <v>1.31</v>
      </c>
      <c r="U156" s="28">
        <f t="shared" si="8"/>
        <v>4.2968000000000002</v>
      </c>
      <c r="V156" s="28">
        <f t="shared" si="11"/>
        <v>3.4190999999999998</v>
      </c>
      <c r="W156" s="28">
        <f t="shared" si="9"/>
        <v>3.1701999999999999</v>
      </c>
      <c r="X156" s="34">
        <f t="shared" si="10"/>
        <v>2.2793999999999999</v>
      </c>
    </row>
    <row r="157" spans="1:24" x14ac:dyDescent="0.25">
      <c r="A157" s="22">
        <v>140</v>
      </c>
      <c r="B157" s="23" t="s">
        <v>170</v>
      </c>
      <c r="C157" s="24">
        <v>0.61819999999999997</v>
      </c>
      <c r="D157" s="31">
        <v>0.44</v>
      </c>
      <c r="E157" s="26">
        <v>0.33260000000000001</v>
      </c>
      <c r="F157" s="26"/>
      <c r="G157" s="26">
        <f>0.2325+0.0448+0.0332</f>
        <v>0.3105</v>
      </c>
      <c r="H157" s="26">
        <v>3.2000000000000002E-3</v>
      </c>
      <c r="I157" s="26">
        <v>1.5800000000000002E-2</v>
      </c>
      <c r="J157" s="26">
        <v>0.59930000000000005</v>
      </c>
      <c r="K157" s="26"/>
      <c r="L157" s="26">
        <v>1.5900000000000001E-2</v>
      </c>
      <c r="M157" s="26">
        <v>8.0000000000000002E-3</v>
      </c>
      <c r="N157" s="26">
        <v>3.4200000000000001E-2</v>
      </c>
      <c r="O157" s="26"/>
      <c r="P157" s="25">
        <v>2.38</v>
      </c>
      <c r="Q157" s="25">
        <v>2.38</v>
      </c>
      <c r="R157" s="25">
        <v>1.94</v>
      </c>
      <c r="S157" s="25">
        <v>1.94</v>
      </c>
      <c r="T157" s="36">
        <v>1.3004</v>
      </c>
      <c r="U157" s="28">
        <f t="shared" si="8"/>
        <v>3.0949519999999997</v>
      </c>
      <c r="V157" s="28">
        <f t="shared" si="11"/>
        <v>3.0949519999999997</v>
      </c>
      <c r="W157" s="28">
        <f t="shared" si="9"/>
        <v>2.5227759999999999</v>
      </c>
      <c r="X157" s="34">
        <f t="shared" si="10"/>
        <v>2.5227759999999999</v>
      </c>
    </row>
    <row r="158" spans="1:24" x14ac:dyDescent="0.25">
      <c r="A158" s="22">
        <v>141</v>
      </c>
      <c r="B158" s="23" t="s">
        <v>171</v>
      </c>
      <c r="C158" s="24">
        <v>0.45660000000000001</v>
      </c>
      <c r="D158" s="25">
        <v>0.4214</v>
      </c>
      <c r="E158" s="26">
        <v>0.30299999999999999</v>
      </c>
      <c r="F158" s="26"/>
      <c r="G158" s="26">
        <f>0.227+0.0441+0.0378</f>
        <v>0.30890000000000001</v>
      </c>
      <c r="H158" s="26"/>
      <c r="I158" s="26"/>
      <c r="J158" s="26">
        <v>0.80969999999999998</v>
      </c>
      <c r="K158" s="26"/>
      <c r="L158" s="26">
        <v>1.47E-2</v>
      </c>
      <c r="M158" s="26"/>
      <c r="N158" s="26">
        <v>3.3799999999999997E-2</v>
      </c>
      <c r="O158" s="26"/>
      <c r="P158" s="25">
        <v>2.35</v>
      </c>
      <c r="Q158" s="25">
        <v>2.35</v>
      </c>
      <c r="R158" s="25">
        <v>1.93</v>
      </c>
      <c r="S158" s="25">
        <v>1.93</v>
      </c>
      <c r="T158" s="36">
        <v>1.3190999999999999</v>
      </c>
      <c r="U158" s="28">
        <f t="shared" si="8"/>
        <v>3.099885</v>
      </c>
      <c r="V158" s="28">
        <f t="shared" si="11"/>
        <v>3.099885</v>
      </c>
      <c r="W158" s="28">
        <f t="shared" si="9"/>
        <v>2.5458629999999998</v>
      </c>
      <c r="X158" s="34">
        <f t="shared" si="10"/>
        <v>2.5458629999999998</v>
      </c>
    </row>
    <row r="159" spans="1:24" x14ac:dyDescent="0.25">
      <c r="A159" s="29">
        <v>142</v>
      </c>
      <c r="B159" s="23" t="s">
        <v>172</v>
      </c>
      <c r="C159" s="24">
        <v>0.27079999999999999</v>
      </c>
      <c r="D159" s="25">
        <v>0.41710000000000003</v>
      </c>
      <c r="E159" s="26">
        <v>0.33429999999999999</v>
      </c>
      <c r="F159" s="26"/>
      <c r="G159" s="26">
        <f>0.2214+0.0437+0.0374</f>
        <v>0.30249999999999999</v>
      </c>
      <c r="H159" s="26">
        <v>3.2000000000000002E-3</v>
      </c>
      <c r="I159" s="26">
        <v>1.6199999999999999E-2</v>
      </c>
      <c r="J159" s="26">
        <v>0.91759999999999997</v>
      </c>
      <c r="K159" s="26"/>
      <c r="L159" s="26">
        <v>1.4500000000000001E-2</v>
      </c>
      <c r="M159" s="26">
        <v>8.2000000000000007E-3</v>
      </c>
      <c r="N159" s="26">
        <v>4.3900000000000002E-2</v>
      </c>
      <c r="O159" s="26"/>
      <c r="P159" s="25">
        <v>2.33</v>
      </c>
      <c r="Q159" s="25">
        <v>2.33</v>
      </c>
      <c r="R159" s="25">
        <v>1.91</v>
      </c>
      <c r="S159" s="25">
        <v>1.91</v>
      </c>
      <c r="T159" s="36">
        <v>1.3292999999999999</v>
      </c>
      <c r="U159" s="28">
        <f t="shared" si="8"/>
        <v>3.0972689999999998</v>
      </c>
      <c r="V159" s="28">
        <f t="shared" si="11"/>
        <v>3.0972689999999998</v>
      </c>
      <c r="W159" s="28">
        <v>2.5499999999999998</v>
      </c>
      <c r="X159" s="34">
        <v>2.5499999999999998</v>
      </c>
    </row>
    <row r="160" spans="1:24" x14ac:dyDescent="0.25">
      <c r="A160" s="22">
        <v>143</v>
      </c>
      <c r="B160" s="23" t="s">
        <v>173</v>
      </c>
      <c r="C160" s="24">
        <v>0.51429999999999998</v>
      </c>
      <c r="D160" s="25">
        <v>0.41039999999999999</v>
      </c>
      <c r="E160" s="26">
        <v>0.30599999999999999</v>
      </c>
      <c r="F160" s="26"/>
      <c r="G160" s="26">
        <f>0.2293+0.0446+0.0361</f>
        <v>0.31000000000000005</v>
      </c>
      <c r="H160" s="26">
        <v>3.3999999999999998E-3</v>
      </c>
      <c r="I160" s="26">
        <v>1.6799999999999999E-2</v>
      </c>
      <c r="J160" s="26">
        <v>0.69610000000000005</v>
      </c>
      <c r="K160" s="26"/>
      <c r="L160" s="26">
        <v>1.4800000000000001E-2</v>
      </c>
      <c r="M160" s="26">
        <v>8.5000000000000006E-3</v>
      </c>
      <c r="N160" s="26">
        <v>4.82E-2</v>
      </c>
      <c r="O160" s="26"/>
      <c r="P160" s="25">
        <v>2.33</v>
      </c>
      <c r="Q160" s="25">
        <v>2.33</v>
      </c>
      <c r="R160" s="25">
        <v>1.92</v>
      </c>
      <c r="S160" s="25">
        <v>1.92</v>
      </c>
      <c r="T160" s="36">
        <v>1.3361000000000001</v>
      </c>
      <c r="U160" s="28">
        <f t="shared" si="8"/>
        <v>3.1131130000000002</v>
      </c>
      <c r="V160" s="28">
        <f t="shared" si="11"/>
        <v>3.1131130000000002</v>
      </c>
      <c r="W160" s="28">
        <f t="shared" si="9"/>
        <v>2.565312</v>
      </c>
      <c r="X160" s="34">
        <f t="shared" si="10"/>
        <v>2.565312</v>
      </c>
    </row>
    <row r="161" spans="1:24" x14ac:dyDescent="0.25">
      <c r="A161" s="22">
        <v>144</v>
      </c>
      <c r="B161" s="23" t="s">
        <v>174</v>
      </c>
      <c r="C161" s="24">
        <v>0.29020000000000001</v>
      </c>
      <c r="D161" s="25">
        <v>0.5091</v>
      </c>
      <c r="E161" s="26">
        <v>0.38069999999999998</v>
      </c>
      <c r="F161" s="26">
        <v>0.53249999999999997</v>
      </c>
      <c r="G161" s="26">
        <f>0.1824+0.0441+0.0355</f>
        <v>0.26200000000000001</v>
      </c>
      <c r="H161" s="26">
        <v>1.2999999999999999E-3</v>
      </c>
      <c r="I161" s="26">
        <v>6.7000000000000002E-3</v>
      </c>
      <c r="J161" s="26">
        <v>0.85470000000000002</v>
      </c>
      <c r="K161" s="26">
        <v>6.8400000000000002E-2</v>
      </c>
      <c r="L161" s="26">
        <v>1.2999999999999999E-2</v>
      </c>
      <c r="M161" s="26">
        <v>3.3999999999999998E-3</v>
      </c>
      <c r="N161" s="26">
        <v>5.5300000000000002E-2</v>
      </c>
      <c r="O161" s="26">
        <v>4.4699999999999997E-2</v>
      </c>
      <c r="P161" s="25">
        <v>3.02</v>
      </c>
      <c r="Q161" s="25">
        <v>2.38</v>
      </c>
      <c r="R161" s="25">
        <v>2.5099999999999998</v>
      </c>
      <c r="S161" s="25">
        <v>1.87</v>
      </c>
      <c r="T161" s="36">
        <v>1.3062</v>
      </c>
      <c r="U161" s="28">
        <v>3.95</v>
      </c>
      <c r="V161" s="28">
        <v>3.1</v>
      </c>
      <c r="W161" s="28">
        <f t="shared" si="9"/>
        <v>3.278562</v>
      </c>
      <c r="X161" s="34">
        <f t="shared" si="10"/>
        <v>2.4425940000000002</v>
      </c>
    </row>
    <row r="162" spans="1:24" x14ac:dyDescent="0.25">
      <c r="A162" s="29">
        <v>145</v>
      </c>
      <c r="B162" s="23" t="s">
        <v>175</v>
      </c>
      <c r="C162" s="24">
        <v>0.2979</v>
      </c>
      <c r="D162" s="25">
        <v>0.6371</v>
      </c>
      <c r="E162" s="26">
        <v>0.31990000000000002</v>
      </c>
      <c r="F162" s="26">
        <v>0.37980000000000003</v>
      </c>
      <c r="G162" s="26">
        <f>0.1744+0.0447+0.0358</f>
        <v>0.25490000000000002</v>
      </c>
      <c r="H162" s="26">
        <v>1.6999999999999999E-3</v>
      </c>
      <c r="I162" s="26">
        <v>8.3000000000000001E-3</v>
      </c>
      <c r="J162" s="26">
        <v>0.80059999999999998</v>
      </c>
      <c r="K162" s="26">
        <v>6.8400000000000002E-2</v>
      </c>
      <c r="L162" s="26">
        <v>1.1599999999999999E-2</v>
      </c>
      <c r="M162" s="26">
        <v>4.1999999999999997E-3</v>
      </c>
      <c r="N162" s="26">
        <v>6.0600000000000001E-2</v>
      </c>
      <c r="O162" s="26">
        <v>8.6099999999999996E-2</v>
      </c>
      <c r="P162" s="25">
        <v>2.93</v>
      </c>
      <c r="Q162" s="28">
        <v>2.4</v>
      </c>
      <c r="R162" s="28">
        <v>2.29</v>
      </c>
      <c r="S162" s="28">
        <v>1.76</v>
      </c>
      <c r="T162" s="36">
        <v>1.3869</v>
      </c>
      <c r="U162" s="28">
        <v>4.07</v>
      </c>
      <c r="V162" s="28">
        <v>3.32</v>
      </c>
      <c r="W162" s="28">
        <f t="shared" si="9"/>
        <v>3.1760010000000003</v>
      </c>
      <c r="X162" s="34">
        <f t="shared" si="10"/>
        <v>2.440944</v>
      </c>
    </row>
    <row r="163" spans="1:24" x14ac:dyDescent="0.25">
      <c r="A163" s="22">
        <v>146</v>
      </c>
      <c r="B163" s="23" t="s">
        <v>176</v>
      </c>
      <c r="C163" s="24">
        <v>0.30249999999999999</v>
      </c>
      <c r="D163" s="25">
        <v>0.5504</v>
      </c>
      <c r="E163" s="26">
        <v>0.1852</v>
      </c>
      <c r="F163" s="26"/>
      <c r="G163" s="26">
        <f>0.1138+0.0325</f>
        <v>0.14629999999999999</v>
      </c>
      <c r="H163" s="26">
        <v>1.2999999999999999E-3</v>
      </c>
      <c r="I163" s="26">
        <v>6.4000000000000003E-3</v>
      </c>
      <c r="J163" s="26">
        <v>0.8518</v>
      </c>
      <c r="K163" s="26"/>
      <c r="L163" s="26">
        <v>3.4500000000000003E-2</v>
      </c>
      <c r="M163" s="26">
        <v>4.1000000000000003E-3</v>
      </c>
      <c r="N163" s="26">
        <v>6.4299999999999996E-2</v>
      </c>
      <c r="O163" s="26"/>
      <c r="P163" s="25">
        <v>2.15</v>
      </c>
      <c r="Q163" s="25">
        <v>2.15</v>
      </c>
      <c r="R163" s="25">
        <v>1.6</v>
      </c>
      <c r="S163" s="25">
        <v>1.6</v>
      </c>
      <c r="T163" s="36">
        <v>1.3392999999999999</v>
      </c>
      <c r="U163" s="28">
        <f t="shared" ref="U163:U205" si="12">P163*T163</f>
        <v>2.8794949999999999</v>
      </c>
      <c r="V163" s="28">
        <f t="shared" si="11"/>
        <v>2.8794949999999999</v>
      </c>
      <c r="W163" s="28">
        <f t="shared" si="9"/>
        <v>2.1428799999999999</v>
      </c>
      <c r="X163" s="34">
        <f t="shared" si="10"/>
        <v>2.1428799999999999</v>
      </c>
    </row>
    <row r="164" spans="1:24" x14ac:dyDescent="0.25">
      <c r="A164" s="22">
        <v>147</v>
      </c>
      <c r="B164" s="23" t="s">
        <v>177</v>
      </c>
      <c r="C164" s="24">
        <v>0.42280000000000001</v>
      </c>
      <c r="D164" s="25">
        <v>0.33489999999999998</v>
      </c>
      <c r="E164" s="26">
        <v>0.29370000000000002</v>
      </c>
      <c r="F164" s="26"/>
      <c r="G164" s="26">
        <f>0.2267+0.0396</f>
        <v>0.26630000000000004</v>
      </c>
      <c r="H164" s="26">
        <v>1.6000000000000001E-3</v>
      </c>
      <c r="I164" s="26">
        <v>8.0999999999999996E-3</v>
      </c>
      <c r="J164" s="26">
        <v>0.68720000000000003</v>
      </c>
      <c r="K164" s="26"/>
      <c r="L164" s="26">
        <v>5.0200000000000002E-2</v>
      </c>
      <c r="M164" s="26">
        <v>4.1000000000000003E-3</v>
      </c>
      <c r="N164" s="26">
        <v>9.0399999999999994E-2</v>
      </c>
      <c r="O164" s="26"/>
      <c r="P164" s="25">
        <v>2.16</v>
      </c>
      <c r="Q164" s="25">
        <v>2.16</v>
      </c>
      <c r="R164" s="25">
        <v>1.82</v>
      </c>
      <c r="S164" s="25">
        <v>1.82</v>
      </c>
      <c r="T164" s="36">
        <v>1.3882000000000001</v>
      </c>
      <c r="U164" s="28">
        <f t="shared" si="12"/>
        <v>2.9985120000000003</v>
      </c>
      <c r="V164" s="28">
        <f t="shared" si="11"/>
        <v>2.9985120000000003</v>
      </c>
      <c r="W164" s="28">
        <f t="shared" si="9"/>
        <v>2.5265240000000002</v>
      </c>
      <c r="X164" s="34">
        <f t="shared" si="10"/>
        <v>2.5265240000000002</v>
      </c>
    </row>
    <row r="165" spans="1:24" x14ac:dyDescent="0.25">
      <c r="A165" s="29">
        <v>148</v>
      </c>
      <c r="B165" s="23" t="s">
        <v>178</v>
      </c>
      <c r="C165" s="24">
        <v>0.4244</v>
      </c>
      <c r="D165" s="25"/>
      <c r="E165" s="26">
        <v>0.3286</v>
      </c>
      <c r="F165" s="26"/>
      <c r="G165" s="26">
        <f>0.2576+0.0407</f>
        <v>0.29830000000000001</v>
      </c>
      <c r="H165" s="26">
        <v>2.9999999999999997E-4</v>
      </c>
      <c r="I165" s="26"/>
      <c r="J165" s="26">
        <v>0.41120000000000001</v>
      </c>
      <c r="K165" s="26"/>
      <c r="L165" s="26">
        <v>8.0000000000000004E-4</v>
      </c>
      <c r="M165" s="26"/>
      <c r="N165" s="26">
        <v>4.2799999999999998E-2</v>
      </c>
      <c r="O165" s="26"/>
      <c r="P165" s="25"/>
      <c r="Q165" s="25"/>
      <c r="R165" s="25">
        <v>1.51</v>
      </c>
      <c r="S165" s="25">
        <v>1.51</v>
      </c>
      <c r="T165" s="36">
        <v>1.5387999999999999</v>
      </c>
      <c r="U165" s="28"/>
      <c r="V165" s="28"/>
      <c r="W165" s="28">
        <f t="shared" si="9"/>
        <v>2.323588</v>
      </c>
      <c r="X165" s="34">
        <f t="shared" si="10"/>
        <v>2.323588</v>
      </c>
    </row>
    <row r="166" spans="1:24" x14ac:dyDescent="0.25">
      <c r="A166" s="22">
        <v>149</v>
      </c>
      <c r="B166" s="23" t="s">
        <v>179</v>
      </c>
      <c r="C166" s="24">
        <v>0.34870000000000001</v>
      </c>
      <c r="D166" s="25"/>
      <c r="E166" s="26">
        <v>0.38240000000000002</v>
      </c>
      <c r="F166" s="26"/>
      <c r="G166" s="26">
        <f>0.2589+0.0409</f>
        <v>0.29980000000000001</v>
      </c>
      <c r="H166" s="26">
        <v>2.9999999999999997E-4</v>
      </c>
      <c r="I166" s="26"/>
      <c r="J166" s="26">
        <v>0.43049999999999999</v>
      </c>
      <c r="K166" s="26"/>
      <c r="L166" s="26">
        <v>8.0000000000000004E-4</v>
      </c>
      <c r="M166" s="26"/>
      <c r="N166" s="26">
        <v>4.2999999999999997E-2</v>
      </c>
      <c r="O166" s="26"/>
      <c r="P166" s="25"/>
      <c r="Q166" s="25"/>
      <c r="R166" s="25">
        <v>1.51</v>
      </c>
      <c r="S166" s="25">
        <v>1.51</v>
      </c>
      <c r="T166" s="36">
        <v>1.5544</v>
      </c>
      <c r="U166" s="28"/>
      <c r="V166" s="28"/>
      <c r="W166" s="28">
        <f t="shared" si="9"/>
        <v>2.3471440000000001</v>
      </c>
      <c r="X166" s="34">
        <f t="shared" si="10"/>
        <v>2.3471440000000001</v>
      </c>
    </row>
    <row r="167" spans="1:24" x14ac:dyDescent="0.25">
      <c r="A167" s="22">
        <v>150</v>
      </c>
      <c r="B167" s="23" t="s">
        <v>180</v>
      </c>
      <c r="C167" s="24">
        <v>0.3155</v>
      </c>
      <c r="D167" s="25">
        <v>0.56479999999999997</v>
      </c>
      <c r="E167" s="26">
        <v>0.1956</v>
      </c>
      <c r="F167" s="26"/>
      <c r="G167" s="26">
        <f>0.1225+0.035</f>
        <v>0.1575</v>
      </c>
      <c r="H167" s="26">
        <v>1.4E-3</v>
      </c>
      <c r="I167" s="26">
        <v>6.7999999999999996E-3</v>
      </c>
      <c r="J167" s="26">
        <v>0.81159999999999999</v>
      </c>
      <c r="K167" s="26"/>
      <c r="L167" s="26">
        <v>3.49E-2</v>
      </c>
      <c r="M167" s="26">
        <v>4.3E-3</v>
      </c>
      <c r="N167" s="26">
        <v>6.6000000000000003E-2</v>
      </c>
      <c r="O167" s="26"/>
      <c r="P167" s="25">
        <v>2.16</v>
      </c>
      <c r="Q167" s="25">
        <v>2.16</v>
      </c>
      <c r="R167" s="25">
        <v>1.59</v>
      </c>
      <c r="S167" s="25">
        <v>1.59</v>
      </c>
      <c r="T167" s="36">
        <v>1.3791</v>
      </c>
      <c r="U167" s="28">
        <f t="shared" si="12"/>
        <v>2.9788560000000004</v>
      </c>
      <c r="V167" s="28">
        <f t="shared" si="11"/>
        <v>2.9788560000000004</v>
      </c>
      <c r="W167" s="28">
        <f t="shared" si="9"/>
        <v>2.1927690000000002</v>
      </c>
      <c r="X167" s="34">
        <f t="shared" si="10"/>
        <v>2.1927690000000002</v>
      </c>
    </row>
    <row r="168" spans="1:24" x14ac:dyDescent="0.25">
      <c r="A168" s="29">
        <v>151</v>
      </c>
      <c r="B168" s="23" t="s">
        <v>181</v>
      </c>
      <c r="C168" s="30">
        <v>0.32300000000000001</v>
      </c>
      <c r="D168" s="31"/>
      <c r="E168" s="26">
        <v>0.42599999999999999</v>
      </c>
      <c r="F168" s="26"/>
      <c r="G168" s="26">
        <f>0.2539+0.0401</f>
        <v>0.29400000000000004</v>
      </c>
      <c r="H168" s="26">
        <v>2.9999999999999997E-4</v>
      </c>
      <c r="I168" s="26"/>
      <c r="J168" s="26">
        <v>0.43440000000000001</v>
      </c>
      <c r="K168" s="26"/>
      <c r="L168" s="26">
        <v>8.0000000000000004E-4</v>
      </c>
      <c r="M168" s="26"/>
      <c r="N168" s="26">
        <v>4.2099999999999999E-2</v>
      </c>
      <c r="O168" s="26"/>
      <c r="P168" s="25"/>
      <c r="Q168" s="25"/>
      <c r="R168" s="25">
        <v>1.52</v>
      </c>
      <c r="S168" s="25">
        <v>1.52</v>
      </c>
      <c r="T168" s="36">
        <v>1.5609999999999999</v>
      </c>
      <c r="U168" s="28"/>
      <c r="V168" s="28"/>
      <c r="W168" s="28">
        <f t="shared" si="9"/>
        <v>2.3727200000000002</v>
      </c>
      <c r="X168" s="34">
        <f t="shared" si="10"/>
        <v>2.3727200000000002</v>
      </c>
    </row>
    <row r="169" spans="1:24" x14ac:dyDescent="0.25">
      <c r="A169" s="22">
        <v>152</v>
      </c>
      <c r="B169" s="23" t="s">
        <v>182</v>
      </c>
      <c r="C169" s="24">
        <v>0.56520000000000004</v>
      </c>
      <c r="D169" s="25">
        <v>0.41249999999999998</v>
      </c>
      <c r="E169" s="26">
        <v>0.21579999999999999</v>
      </c>
      <c r="F169" s="38"/>
      <c r="G169" s="26">
        <f>0.2188+0.0382</f>
        <v>0.25700000000000001</v>
      </c>
      <c r="H169" s="26"/>
      <c r="I169" s="26"/>
      <c r="J169" s="26">
        <v>0.62680000000000002</v>
      </c>
      <c r="K169" s="26"/>
      <c r="L169" s="26">
        <v>4.6600000000000003E-2</v>
      </c>
      <c r="M169" s="26">
        <v>4.1000000000000003E-3</v>
      </c>
      <c r="N169" s="26">
        <v>3.4500000000000003E-2</v>
      </c>
      <c r="O169" s="26"/>
      <c r="P169" s="25">
        <v>2.16</v>
      </c>
      <c r="Q169" s="25">
        <v>2.16</v>
      </c>
      <c r="R169" s="25">
        <v>1.75</v>
      </c>
      <c r="S169" s="25">
        <v>1.75</v>
      </c>
      <c r="T169" s="36">
        <v>1.3321000000000001</v>
      </c>
      <c r="U169" s="28">
        <f t="shared" si="12"/>
        <v>2.8773360000000001</v>
      </c>
      <c r="V169" s="28">
        <f t="shared" si="11"/>
        <v>2.8773360000000001</v>
      </c>
      <c r="W169" s="28">
        <f t="shared" si="9"/>
        <v>2.331175</v>
      </c>
      <c r="X169" s="34">
        <f t="shared" si="10"/>
        <v>2.331175</v>
      </c>
    </row>
    <row r="170" spans="1:24" x14ac:dyDescent="0.25">
      <c r="A170" s="22">
        <v>153</v>
      </c>
      <c r="B170" s="23" t="s">
        <v>183</v>
      </c>
      <c r="C170" s="24">
        <v>0.36209999999999998</v>
      </c>
      <c r="D170" s="25">
        <v>0.33379999999999999</v>
      </c>
      <c r="E170" s="26">
        <v>0.26529999999999998</v>
      </c>
      <c r="F170" s="26"/>
      <c r="G170" s="26">
        <f>0.2259+0.0359</f>
        <v>0.26179999999999998</v>
      </c>
      <c r="H170" s="26">
        <v>1.6000000000000001E-3</v>
      </c>
      <c r="I170" s="26">
        <v>8.0999999999999996E-3</v>
      </c>
      <c r="J170" s="26">
        <v>0.67390000000000005</v>
      </c>
      <c r="K170" s="26"/>
      <c r="L170" s="26">
        <v>0.05</v>
      </c>
      <c r="M170" s="26">
        <v>4.1000000000000003E-3</v>
      </c>
      <c r="N170" s="26">
        <v>5.3999999999999999E-2</v>
      </c>
      <c r="O170" s="26"/>
      <c r="P170" s="25">
        <v>2.0099999999999998</v>
      </c>
      <c r="Q170" s="25">
        <v>2.0099999999999998</v>
      </c>
      <c r="R170" s="25">
        <v>1.68</v>
      </c>
      <c r="S170" s="25">
        <v>1.68</v>
      </c>
      <c r="T170" s="36">
        <v>1.3774999999999999</v>
      </c>
      <c r="U170" s="28">
        <f t="shared" si="12"/>
        <v>2.7687749999999998</v>
      </c>
      <c r="V170" s="28">
        <f t="shared" si="11"/>
        <v>2.7687749999999998</v>
      </c>
      <c r="W170" s="28">
        <f t="shared" si="9"/>
        <v>2.3142</v>
      </c>
      <c r="X170" s="34">
        <f t="shared" si="10"/>
        <v>2.3142</v>
      </c>
    </row>
    <row r="171" spans="1:24" x14ac:dyDescent="0.25">
      <c r="A171" s="29">
        <v>154</v>
      </c>
      <c r="B171" s="23" t="s">
        <v>184</v>
      </c>
      <c r="C171" s="24">
        <v>0.21079999999999999</v>
      </c>
      <c r="D171" s="25">
        <v>0.5282</v>
      </c>
      <c r="E171" s="26">
        <v>0.30580000000000002</v>
      </c>
      <c r="F171" s="26"/>
      <c r="G171" s="26">
        <f>0.171+0.0263</f>
        <v>0.1973</v>
      </c>
      <c r="H171" s="26"/>
      <c r="I171" s="26">
        <v>1E-4</v>
      </c>
      <c r="J171" s="26">
        <v>0.90080000000000005</v>
      </c>
      <c r="K171" s="26"/>
      <c r="L171" s="26">
        <v>5.7200000000000001E-2</v>
      </c>
      <c r="M171" s="26"/>
      <c r="N171" s="26">
        <v>4.53E-2</v>
      </c>
      <c r="O171" s="26"/>
      <c r="P171" s="25">
        <v>2.25</v>
      </c>
      <c r="Q171" s="25">
        <v>2.25</v>
      </c>
      <c r="R171" s="25">
        <v>1.72</v>
      </c>
      <c r="S171" s="25">
        <v>1.72</v>
      </c>
      <c r="T171" s="36">
        <v>1.3037000000000001</v>
      </c>
      <c r="U171" s="28">
        <f t="shared" si="12"/>
        <v>2.933325</v>
      </c>
      <c r="V171" s="28">
        <f t="shared" si="11"/>
        <v>2.933325</v>
      </c>
      <c r="W171" s="28">
        <f t="shared" si="9"/>
        <v>2.2423640000000002</v>
      </c>
      <c r="X171" s="34">
        <f t="shared" si="10"/>
        <v>2.2423640000000002</v>
      </c>
    </row>
    <row r="172" spans="1:24" x14ac:dyDescent="0.25">
      <c r="A172" s="22">
        <v>155</v>
      </c>
      <c r="B172" s="23" t="s">
        <v>185</v>
      </c>
      <c r="C172" s="24">
        <v>0.26840000000000003</v>
      </c>
      <c r="D172" s="25">
        <v>0.47970000000000002</v>
      </c>
      <c r="E172" s="26">
        <v>0.35599999999999998</v>
      </c>
      <c r="F172" s="26"/>
      <c r="G172" s="26">
        <f>0.2169+0.0297</f>
        <v>0.24660000000000001</v>
      </c>
      <c r="H172" s="26">
        <v>5.9999999999999995E-4</v>
      </c>
      <c r="I172" s="26">
        <v>2.8E-3</v>
      </c>
      <c r="J172" s="26">
        <v>0.7742</v>
      </c>
      <c r="K172" s="26"/>
      <c r="L172" s="26">
        <v>6.4899999999999999E-2</v>
      </c>
      <c r="M172" s="26">
        <v>1.6999999999999999E-3</v>
      </c>
      <c r="N172" s="26">
        <v>3.2399999999999998E-2</v>
      </c>
      <c r="O172" s="26"/>
      <c r="P172" s="25">
        <v>2.23</v>
      </c>
      <c r="Q172" s="25">
        <v>2.23</v>
      </c>
      <c r="R172" s="25">
        <v>1.75</v>
      </c>
      <c r="S172" s="25">
        <v>1.75</v>
      </c>
      <c r="T172" s="36">
        <v>1.2990999999999999</v>
      </c>
      <c r="U172" s="28">
        <f t="shared" si="12"/>
        <v>2.8969929999999997</v>
      </c>
      <c r="V172" s="28">
        <f t="shared" si="11"/>
        <v>2.8969929999999997</v>
      </c>
      <c r="W172" s="28">
        <f t="shared" si="9"/>
        <v>2.273425</v>
      </c>
      <c r="X172" s="34">
        <f t="shared" si="10"/>
        <v>2.273425</v>
      </c>
    </row>
    <row r="173" spans="1:24" x14ac:dyDescent="0.25">
      <c r="A173" s="22">
        <v>156</v>
      </c>
      <c r="B173" s="23" t="s">
        <v>186</v>
      </c>
      <c r="C173" s="24">
        <v>0.23230000000000001</v>
      </c>
      <c r="D173" s="25">
        <v>0.48649999999999999</v>
      </c>
      <c r="E173" s="26">
        <v>0.27729999999999999</v>
      </c>
      <c r="F173" s="26"/>
      <c r="G173" s="26">
        <f>0.2178+0.0366+0.0302</f>
        <v>0.28460000000000002</v>
      </c>
      <c r="H173" s="26">
        <v>2E-3</v>
      </c>
      <c r="I173" s="26">
        <v>1.01E-2</v>
      </c>
      <c r="J173" s="26">
        <v>1.0457000000000001</v>
      </c>
      <c r="K173" s="26"/>
      <c r="L173" s="26">
        <v>1.7399999999999999E-2</v>
      </c>
      <c r="M173" s="26">
        <v>6.1999999999999998E-3</v>
      </c>
      <c r="N173" s="26">
        <v>3.0200000000000001E-2</v>
      </c>
      <c r="O173" s="26"/>
      <c r="P173" s="25">
        <v>2.39</v>
      </c>
      <c r="Q173" s="25">
        <v>2.39</v>
      </c>
      <c r="R173" s="25">
        <v>1.91</v>
      </c>
      <c r="S173" s="25">
        <v>1.91</v>
      </c>
      <c r="T173" s="36">
        <v>1.3279000000000001</v>
      </c>
      <c r="U173" s="28">
        <f t="shared" si="12"/>
        <v>3.1736810000000002</v>
      </c>
      <c r="V173" s="28">
        <f t="shared" si="11"/>
        <v>3.1736810000000002</v>
      </c>
      <c r="W173" s="28">
        <f t="shared" si="9"/>
        <v>2.536289</v>
      </c>
      <c r="X173" s="34">
        <f t="shared" si="10"/>
        <v>2.536289</v>
      </c>
    </row>
    <row r="174" spans="1:24" x14ac:dyDescent="0.25">
      <c r="A174" s="48">
        <v>157</v>
      </c>
      <c r="B174" s="40" t="s">
        <v>187</v>
      </c>
      <c r="C174" s="50">
        <v>0.38100000000000001</v>
      </c>
      <c r="D174" s="42">
        <v>0.51749999999999996</v>
      </c>
      <c r="E174" s="43">
        <v>0.32390000000000002</v>
      </c>
      <c r="F174" s="43"/>
      <c r="G174" s="43">
        <f>0.0308+0.0385+0.0308</f>
        <v>0.10009999999999999</v>
      </c>
      <c r="H174" s="43">
        <v>2.7000000000000001E-3</v>
      </c>
      <c r="I174" s="43">
        <v>1.3299999999999999E-2</v>
      </c>
      <c r="J174" s="43">
        <v>1.0378000000000001</v>
      </c>
      <c r="K174" s="43"/>
      <c r="L174" s="43">
        <v>1.6500000000000001E-2</v>
      </c>
      <c r="M174" s="43">
        <v>7.9000000000000008E-3</v>
      </c>
      <c r="N174" s="43">
        <v>2.8400000000000002E-2</v>
      </c>
      <c r="O174" s="43"/>
      <c r="P174" s="42">
        <v>2.4300000000000002</v>
      </c>
      <c r="Q174" s="42">
        <v>2.4300000000000002</v>
      </c>
      <c r="R174" s="42">
        <v>1.91</v>
      </c>
      <c r="S174" s="42">
        <v>1.91</v>
      </c>
      <c r="T174" s="49">
        <v>1.22</v>
      </c>
      <c r="U174" s="45">
        <f t="shared" si="12"/>
        <v>2.9646000000000003</v>
      </c>
      <c r="V174" s="45">
        <f t="shared" si="11"/>
        <v>2.9646000000000003</v>
      </c>
      <c r="W174" s="45">
        <f t="shared" si="9"/>
        <v>2.3302</v>
      </c>
      <c r="X174" s="46">
        <f t="shared" si="10"/>
        <v>2.3302</v>
      </c>
    </row>
    <row r="175" spans="1:24" x14ac:dyDescent="0.25">
      <c r="A175" s="22">
        <v>158</v>
      </c>
      <c r="B175" s="23" t="s">
        <v>188</v>
      </c>
      <c r="C175" s="24">
        <v>0.3468</v>
      </c>
      <c r="D175" s="25">
        <v>0.37119999999999997</v>
      </c>
      <c r="E175" s="26">
        <v>0.29620000000000002</v>
      </c>
      <c r="F175" s="26"/>
      <c r="G175" s="26">
        <f>0.224+0.0456+0.0373</f>
        <v>0.30690000000000001</v>
      </c>
      <c r="H175" s="26">
        <v>2.5999999999999999E-3</v>
      </c>
      <c r="I175" s="26">
        <v>1.3100000000000001E-2</v>
      </c>
      <c r="J175" s="26">
        <v>0.80430000000000001</v>
      </c>
      <c r="K175" s="26"/>
      <c r="L175" s="26">
        <v>1.4500000000000001E-2</v>
      </c>
      <c r="M175" s="26">
        <v>6.6E-3</v>
      </c>
      <c r="N175" s="26">
        <v>2.8500000000000001E-2</v>
      </c>
      <c r="O175" s="26"/>
      <c r="P175" s="25">
        <v>2.19</v>
      </c>
      <c r="Q175" s="25">
        <v>2.19</v>
      </c>
      <c r="R175" s="25">
        <v>1.82</v>
      </c>
      <c r="S175" s="25">
        <v>1.82</v>
      </c>
      <c r="T175" s="36">
        <v>1.2653000000000001</v>
      </c>
      <c r="U175" s="28">
        <f t="shared" si="12"/>
        <v>2.771007</v>
      </c>
      <c r="V175" s="28">
        <f t="shared" si="11"/>
        <v>2.771007</v>
      </c>
      <c r="W175" s="28">
        <f t="shared" si="9"/>
        <v>2.3028460000000002</v>
      </c>
      <c r="X175" s="34">
        <f t="shared" si="10"/>
        <v>2.3028460000000002</v>
      </c>
    </row>
    <row r="176" spans="1:24" x14ac:dyDescent="0.25">
      <c r="A176" s="22">
        <v>159</v>
      </c>
      <c r="B176" s="23" t="s">
        <v>189</v>
      </c>
      <c r="C176" s="24">
        <v>0.16289999999999999</v>
      </c>
      <c r="D176" s="25">
        <v>0.51380000000000003</v>
      </c>
      <c r="E176" s="26">
        <v>0.25629999999999997</v>
      </c>
      <c r="F176" s="26"/>
      <c r="G176" s="26">
        <f>0.1714+0.0363+0.0297</f>
        <v>0.2374</v>
      </c>
      <c r="H176" s="26">
        <v>2.2000000000000001E-3</v>
      </c>
      <c r="I176" s="26">
        <v>1.09E-2</v>
      </c>
      <c r="J176" s="26">
        <v>1.1882999999999999</v>
      </c>
      <c r="K176" s="26"/>
      <c r="L176" s="26">
        <v>1.43E-2</v>
      </c>
      <c r="M176" s="26">
        <v>6.7999999999999996E-3</v>
      </c>
      <c r="N176" s="26">
        <v>3.0599999999999999E-2</v>
      </c>
      <c r="O176" s="26"/>
      <c r="P176" s="25">
        <v>2.42</v>
      </c>
      <c r="Q176" s="25">
        <v>2.42</v>
      </c>
      <c r="R176" s="25">
        <v>1.91</v>
      </c>
      <c r="S176" s="25">
        <v>1.91</v>
      </c>
      <c r="T176" s="36">
        <v>1.2566999999999999</v>
      </c>
      <c r="U176" s="28">
        <f t="shared" si="12"/>
        <v>3.0412139999999996</v>
      </c>
      <c r="V176" s="28">
        <f t="shared" si="11"/>
        <v>3.0412139999999996</v>
      </c>
      <c r="W176" s="28">
        <f t="shared" si="9"/>
        <v>2.4002969999999997</v>
      </c>
      <c r="X176" s="34">
        <f t="shared" si="10"/>
        <v>2.4002969999999997</v>
      </c>
    </row>
    <row r="177" spans="1:24" x14ac:dyDescent="0.25">
      <c r="A177" s="29">
        <v>160</v>
      </c>
      <c r="B177" s="23" t="s">
        <v>190</v>
      </c>
      <c r="C177" s="24">
        <v>0.38690000000000002</v>
      </c>
      <c r="D177" s="25">
        <v>0.44469999999999998</v>
      </c>
      <c r="E177" s="26">
        <v>0.2757</v>
      </c>
      <c r="F177" s="26"/>
      <c r="G177" s="26">
        <f>0.2031+0.0339+0.0263</f>
        <v>0.26329999999999998</v>
      </c>
      <c r="H177" s="26">
        <v>2.5000000000000001E-3</v>
      </c>
      <c r="I177" s="26">
        <v>1.2500000000000001E-2</v>
      </c>
      <c r="J177" s="26">
        <v>0.95069999999999999</v>
      </c>
      <c r="K177" s="26"/>
      <c r="L177" s="26">
        <v>1.7299999999999999E-2</v>
      </c>
      <c r="M177" s="26">
        <v>7.9000000000000008E-3</v>
      </c>
      <c r="N177" s="26">
        <v>3.6999999999999998E-2</v>
      </c>
      <c r="O177" s="26"/>
      <c r="P177" s="28">
        <v>2.4</v>
      </c>
      <c r="Q177" s="25">
        <v>2.4</v>
      </c>
      <c r="R177" s="25">
        <v>1.95</v>
      </c>
      <c r="S177" s="25">
        <v>1.95</v>
      </c>
      <c r="T177" s="36">
        <v>1.3159000000000001</v>
      </c>
      <c r="U177" s="28">
        <f t="shared" si="12"/>
        <v>3.1581600000000001</v>
      </c>
      <c r="V177" s="28">
        <f t="shared" si="11"/>
        <v>3.1581600000000001</v>
      </c>
      <c r="W177" s="28">
        <f t="shared" si="9"/>
        <v>2.5660050000000001</v>
      </c>
      <c r="X177" s="34">
        <f t="shared" si="10"/>
        <v>2.5660050000000001</v>
      </c>
    </row>
    <row r="178" spans="1:24" x14ac:dyDescent="0.25">
      <c r="A178" s="22">
        <v>161</v>
      </c>
      <c r="B178" s="40" t="s">
        <v>191</v>
      </c>
      <c r="C178" s="41">
        <v>0.3231</v>
      </c>
      <c r="D178" s="42">
        <v>0.36009999999999998</v>
      </c>
      <c r="E178" s="43">
        <v>0.43390000000000001</v>
      </c>
      <c r="F178" s="43"/>
      <c r="G178" s="43">
        <f>0.2282+0.0532+0.038</f>
        <v>0.31939999999999996</v>
      </c>
      <c r="H178" s="43">
        <v>2.7000000000000001E-3</v>
      </c>
      <c r="I178" s="43">
        <v>1.34E-2</v>
      </c>
      <c r="J178" s="43">
        <v>0.70789999999999997</v>
      </c>
      <c r="K178" s="43"/>
      <c r="L178" s="43">
        <v>1.47E-2</v>
      </c>
      <c r="M178" s="43"/>
      <c r="N178" s="43">
        <v>3.15E-2</v>
      </c>
      <c r="O178" s="43"/>
      <c r="P178" s="42">
        <v>2.21</v>
      </c>
      <c r="Q178" s="42">
        <v>2.21</v>
      </c>
      <c r="R178" s="42">
        <v>1.85</v>
      </c>
      <c r="S178" s="42">
        <v>1.85</v>
      </c>
      <c r="T178" s="44">
        <v>1.3445</v>
      </c>
      <c r="U178" s="45">
        <f t="shared" si="12"/>
        <v>2.9713449999999999</v>
      </c>
      <c r="V178" s="45">
        <f t="shared" si="11"/>
        <v>2.9713449999999999</v>
      </c>
      <c r="W178" s="45">
        <f t="shared" si="9"/>
        <v>2.4873250000000002</v>
      </c>
      <c r="X178" s="46">
        <f t="shared" si="10"/>
        <v>2.4873250000000002</v>
      </c>
    </row>
    <row r="179" spans="1:24" x14ac:dyDescent="0.25">
      <c r="A179" s="22">
        <v>162</v>
      </c>
      <c r="B179" s="23" t="s">
        <v>192</v>
      </c>
      <c r="C179" s="24">
        <v>0.3891</v>
      </c>
      <c r="D179" s="25">
        <v>0.50939999999999996</v>
      </c>
      <c r="E179" s="26">
        <v>0.29820000000000002</v>
      </c>
      <c r="F179" s="26"/>
      <c r="G179" s="26">
        <f>0.1592+0.0339</f>
        <v>0.19309999999999999</v>
      </c>
      <c r="H179" s="26">
        <v>1.5E-3</v>
      </c>
      <c r="I179" s="26">
        <v>7.7000000000000002E-3</v>
      </c>
      <c r="J179" s="26">
        <v>0.76639999999999997</v>
      </c>
      <c r="K179" s="26"/>
      <c r="L179" s="26">
        <v>3.1699999999999999E-2</v>
      </c>
      <c r="M179" s="26"/>
      <c r="N179" s="26">
        <v>5.2400000000000002E-2</v>
      </c>
      <c r="O179" s="26"/>
      <c r="P179" s="25">
        <v>2.25</v>
      </c>
      <c r="Q179" s="25">
        <v>2.25</v>
      </c>
      <c r="R179" s="25">
        <v>1.74</v>
      </c>
      <c r="S179" s="25">
        <v>1.74</v>
      </c>
      <c r="T179" s="36">
        <v>1.3228</v>
      </c>
      <c r="U179" s="28">
        <f t="shared" si="12"/>
        <v>2.9763000000000002</v>
      </c>
      <c r="V179" s="28">
        <f t="shared" si="11"/>
        <v>2.9763000000000002</v>
      </c>
      <c r="W179" s="28">
        <f t="shared" si="9"/>
        <v>2.3016719999999999</v>
      </c>
      <c r="X179" s="34">
        <f t="shared" si="10"/>
        <v>2.3016719999999999</v>
      </c>
    </row>
    <row r="180" spans="1:24" x14ac:dyDescent="0.25">
      <c r="A180" s="29">
        <v>163</v>
      </c>
      <c r="B180" s="23" t="s">
        <v>193</v>
      </c>
      <c r="C180" s="30">
        <v>0.33100000000000002</v>
      </c>
      <c r="D180" s="25">
        <v>0.33090000000000003</v>
      </c>
      <c r="E180" s="26">
        <v>0.30580000000000002</v>
      </c>
      <c r="F180" s="26"/>
      <c r="G180" s="26">
        <f>0.2085+0.0347</f>
        <v>0.2432</v>
      </c>
      <c r="H180" s="26">
        <v>2.3E-3</v>
      </c>
      <c r="I180" s="26">
        <v>1.14E-2</v>
      </c>
      <c r="J180" s="26">
        <v>0.65920000000000001</v>
      </c>
      <c r="K180" s="26"/>
      <c r="L180" s="26">
        <v>4.1599999999999998E-2</v>
      </c>
      <c r="M180" s="26"/>
      <c r="N180" s="26">
        <v>6.3700000000000007E-2</v>
      </c>
      <c r="O180" s="26"/>
      <c r="P180" s="25">
        <v>1.99</v>
      </c>
      <c r="Q180" s="25">
        <v>1.99</v>
      </c>
      <c r="R180" s="25">
        <v>1.66</v>
      </c>
      <c r="S180" s="25">
        <v>1.66</v>
      </c>
      <c r="T180" s="36">
        <v>1.3547</v>
      </c>
      <c r="U180" s="28">
        <f t="shared" si="12"/>
        <v>2.6958530000000001</v>
      </c>
      <c r="V180" s="28">
        <f t="shared" si="11"/>
        <v>2.6958530000000001</v>
      </c>
      <c r="W180" s="28">
        <f t="shared" si="9"/>
        <v>2.248802</v>
      </c>
      <c r="X180" s="34">
        <f t="shared" si="10"/>
        <v>2.248802</v>
      </c>
    </row>
    <row r="181" spans="1:24" x14ac:dyDescent="0.25">
      <c r="A181" s="22">
        <v>164</v>
      </c>
      <c r="B181" s="23" t="s">
        <v>194</v>
      </c>
      <c r="C181" s="24">
        <v>0.38340000000000002</v>
      </c>
      <c r="D181" s="25">
        <v>0.60489999999999999</v>
      </c>
      <c r="E181" s="26">
        <v>0.309</v>
      </c>
      <c r="F181" s="26"/>
      <c r="G181" s="26">
        <f>0.131+0.0393</f>
        <v>0.17030000000000001</v>
      </c>
      <c r="H181" s="26">
        <v>2.8E-3</v>
      </c>
      <c r="I181" s="26">
        <v>1.41E-2</v>
      </c>
      <c r="J181" s="26">
        <v>0.73540000000000005</v>
      </c>
      <c r="K181" s="26"/>
      <c r="L181" s="26">
        <v>3.0700000000000002E-2</v>
      </c>
      <c r="M181" s="26"/>
      <c r="N181" s="26">
        <v>2.9700000000000001E-2</v>
      </c>
      <c r="O181" s="26"/>
      <c r="P181" s="25">
        <v>2.2799999999999998</v>
      </c>
      <c r="Q181" s="25">
        <v>2.2799999999999998</v>
      </c>
      <c r="R181" s="25">
        <v>1.68</v>
      </c>
      <c r="S181" s="25">
        <v>1.68</v>
      </c>
      <c r="T181" s="36">
        <v>1.3288</v>
      </c>
      <c r="U181" s="28">
        <f t="shared" si="12"/>
        <v>3.0296639999999999</v>
      </c>
      <c r="V181" s="28">
        <f t="shared" si="11"/>
        <v>3.0296639999999999</v>
      </c>
      <c r="W181" s="28">
        <f t="shared" si="9"/>
        <v>2.2323839999999997</v>
      </c>
      <c r="X181" s="34">
        <f t="shared" si="10"/>
        <v>2.2323839999999997</v>
      </c>
    </row>
    <row r="182" spans="1:24" x14ac:dyDescent="0.25">
      <c r="A182" s="22">
        <v>165</v>
      </c>
      <c r="B182" s="23" t="s">
        <v>195</v>
      </c>
      <c r="C182" s="24">
        <v>0.2646</v>
      </c>
      <c r="D182" s="25">
        <v>0.37730000000000002</v>
      </c>
      <c r="E182" s="26">
        <v>0.27789999999999998</v>
      </c>
      <c r="F182" s="26"/>
      <c r="G182" s="26">
        <f>0.2121+0.0359</f>
        <v>0.248</v>
      </c>
      <c r="H182" s="26">
        <v>1.5E-3</v>
      </c>
      <c r="I182" s="26">
        <v>7.7000000000000002E-3</v>
      </c>
      <c r="J182" s="26">
        <v>0.87280000000000002</v>
      </c>
      <c r="K182" s="26"/>
      <c r="L182" s="26">
        <v>3.4299999999999997E-2</v>
      </c>
      <c r="M182" s="26"/>
      <c r="N182" s="26">
        <v>6.4699999999999994E-2</v>
      </c>
      <c r="O182" s="26"/>
      <c r="P182" s="25">
        <v>2.15</v>
      </c>
      <c r="Q182" s="25">
        <v>2.15</v>
      </c>
      <c r="R182" s="25">
        <v>1.77</v>
      </c>
      <c r="S182" s="25">
        <v>1.77</v>
      </c>
      <c r="T182" s="36">
        <v>1.3846000000000001</v>
      </c>
      <c r="U182" s="28">
        <f t="shared" si="12"/>
        <v>2.97689</v>
      </c>
      <c r="V182" s="28">
        <f t="shared" si="11"/>
        <v>2.97689</v>
      </c>
      <c r="W182" s="28">
        <f t="shared" si="9"/>
        <v>2.450742</v>
      </c>
      <c r="X182" s="34">
        <f t="shared" si="10"/>
        <v>2.450742</v>
      </c>
    </row>
    <row r="183" spans="1:24" x14ac:dyDescent="0.25">
      <c r="A183" s="29">
        <v>166</v>
      </c>
      <c r="B183" s="23" t="s">
        <v>196</v>
      </c>
      <c r="C183" s="24">
        <v>0.34910000000000002</v>
      </c>
      <c r="D183" s="25">
        <v>0.32229999999999998</v>
      </c>
      <c r="E183" s="26">
        <v>0.27629999999999999</v>
      </c>
      <c r="F183" s="26"/>
      <c r="G183" s="26">
        <f>0.2166+0.0338</f>
        <v>0.25039999999999996</v>
      </c>
      <c r="H183" s="26">
        <v>1.5E-3</v>
      </c>
      <c r="I183" s="26">
        <v>7.3000000000000001E-3</v>
      </c>
      <c r="J183" s="26">
        <v>0.73970000000000002</v>
      </c>
      <c r="K183" s="26"/>
      <c r="L183" s="26">
        <v>4.3799999999999999E-2</v>
      </c>
      <c r="M183" s="26"/>
      <c r="N183" s="26">
        <v>5.6300000000000003E-2</v>
      </c>
      <c r="O183" s="26"/>
      <c r="P183" s="25">
        <v>2.0499999999999998</v>
      </c>
      <c r="Q183" s="25">
        <v>2.0499999999999998</v>
      </c>
      <c r="R183" s="25">
        <v>1.72</v>
      </c>
      <c r="S183" s="25">
        <v>1.72</v>
      </c>
      <c r="T183" s="36">
        <v>1.3875999999999999</v>
      </c>
      <c r="U183" s="28">
        <f t="shared" si="12"/>
        <v>2.8445799999999997</v>
      </c>
      <c r="V183" s="28">
        <f t="shared" si="11"/>
        <v>2.8445799999999997</v>
      </c>
      <c r="W183" s="28">
        <f t="shared" si="9"/>
        <v>2.3866719999999999</v>
      </c>
      <c r="X183" s="34">
        <f t="shared" si="10"/>
        <v>2.3866719999999999</v>
      </c>
    </row>
    <row r="184" spans="1:24" x14ac:dyDescent="0.25">
      <c r="A184" s="22">
        <v>167</v>
      </c>
      <c r="B184" s="23" t="s">
        <v>197</v>
      </c>
      <c r="C184" s="24">
        <v>0.37730000000000002</v>
      </c>
      <c r="D184" s="25">
        <v>0.32829999999999998</v>
      </c>
      <c r="E184" s="26">
        <v>0.32979999999999998</v>
      </c>
      <c r="F184" s="26"/>
      <c r="G184" s="26">
        <f>0.2069+0.0345</f>
        <v>0.2414</v>
      </c>
      <c r="H184" s="26">
        <v>1.5E-3</v>
      </c>
      <c r="I184" s="26">
        <v>7.4000000000000003E-3</v>
      </c>
      <c r="J184" s="26">
        <v>0.69440000000000002</v>
      </c>
      <c r="K184" s="26"/>
      <c r="L184" s="26">
        <v>4.1200000000000001E-2</v>
      </c>
      <c r="M184" s="26"/>
      <c r="N184" s="26">
        <v>7.1599999999999997E-2</v>
      </c>
      <c r="O184" s="26"/>
      <c r="P184" s="25">
        <v>2.09</v>
      </c>
      <c r="Q184" s="25">
        <v>2.09</v>
      </c>
      <c r="R184" s="25">
        <v>1.76</v>
      </c>
      <c r="S184" s="25">
        <v>1.76</v>
      </c>
      <c r="T184" s="36">
        <v>1.3111999999999999</v>
      </c>
      <c r="U184" s="28">
        <f t="shared" si="12"/>
        <v>2.7404079999999995</v>
      </c>
      <c r="V184" s="28">
        <f t="shared" si="11"/>
        <v>2.7404079999999995</v>
      </c>
      <c r="W184" s="28">
        <f t="shared" si="9"/>
        <v>2.307712</v>
      </c>
      <c r="X184" s="34">
        <f t="shared" si="10"/>
        <v>2.307712</v>
      </c>
    </row>
    <row r="185" spans="1:24" x14ac:dyDescent="0.25">
      <c r="A185" s="22">
        <v>168</v>
      </c>
      <c r="B185" s="23" t="s">
        <v>198</v>
      </c>
      <c r="C185" s="24">
        <v>0.44309999999999999</v>
      </c>
      <c r="D185" s="25"/>
      <c r="E185" s="26">
        <v>0.1802</v>
      </c>
      <c r="F185" s="26"/>
      <c r="G185" s="26">
        <f>0.2245+0.0416</f>
        <v>0.2661</v>
      </c>
      <c r="H185" s="26">
        <v>2.0000000000000001E-4</v>
      </c>
      <c r="I185" s="26"/>
      <c r="J185" s="26">
        <v>0.60040000000000004</v>
      </c>
      <c r="K185" s="26"/>
      <c r="L185" s="38">
        <v>5.9999999999999995E-4</v>
      </c>
      <c r="M185" s="26"/>
      <c r="N185" s="38">
        <v>3.3399999999999999E-2</v>
      </c>
      <c r="O185" s="26"/>
      <c r="P185" s="51"/>
      <c r="Q185" s="25"/>
      <c r="R185" s="25">
        <v>1.52</v>
      </c>
      <c r="S185" s="25">
        <v>1.52</v>
      </c>
      <c r="T185" s="36">
        <v>1.4870000000000001</v>
      </c>
      <c r="U185" s="28"/>
      <c r="V185" s="28"/>
      <c r="W185" s="28">
        <v>2.27</v>
      </c>
      <c r="X185" s="34">
        <v>2.27</v>
      </c>
    </row>
    <row r="186" spans="1:24" x14ac:dyDescent="0.25">
      <c r="A186" s="29">
        <v>169</v>
      </c>
      <c r="B186" s="23" t="s">
        <v>199</v>
      </c>
      <c r="C186" s="24">
        <v>0.26469999999999999</v>
      </c>
      <c r="D186" s="25">
        <v>0.45550000000000002</v>
      </c>
      <c r="E186" s="26">
        <v>0.27989999999999998</v>
      </c>
      <c r="F186" s="26"/>
      <c r="G186" s="26">
        <f>0.2297+0.0287</f>
        <v>0.25839999999999996</v>
      </c>
      <c r="H186" s="26">
        <v>1.1999999999999999E-3</v>
      </c>
      <c r="I186" s="26">
        <v>6.1999999999999998E-3</v>
      </c>
      <c r="J186" s="26">
        <v>0.79069999999999996</v>
      </c>
      <c r="K186" s="26"/>
      <c r="L186" s="26">
        <v>5.7099999999999998E-2</v>
      </c>
      <c r="M186" s="26"/>
      <c r="N186" s="26">
        <v>4.9799999999999997E-2</v>
      </c>
      <c r="O186" s="26"/>
      <c r="P186" s="25">
        <v>2.16</v>
      </c>
      <c r="Q186" s="25">
        <v>2.16</v>
      </c>
      <c r="R186" s="25">
        <v>1.71</v>
      </c>
      <c r="S186" s="25">
        <v>1.71</v>
      </c>
      <c r="T186" s="36">
        <v>1.2824</v>
      </c>
      <c r="U186" s="28">
        <f t="shared" si="12"/>
        <v>2.769984</v>
      </c>
      <c r="V186" s="28">
        <f t="shared" si="11"/>
        <v>2.769984</v>
      </c>
      <c r="W186" s="28">
        <f t="shared" si="9"/>
        <v>2.192904</v>
      </c>
      <c r="X186" s="34">
        <f t="shared" si="10"/>
        <v>2.192904</v>
      </c>
    </row>
    <row r="187" spans="1:24" x14ac:dyDescent="0.25">
      <c r="A187" s="22">
        <v>170</v>
      </c>
      <c r="B187" s="23" t="s">
        <v>200</v>
      </c>
      <c r="C187" s="24">
        <v>0.36580000000000001</v>
      </c>
      <c r="D187" s="25">
        <v>0.3533</v>
      </c>
      <c r="E187" s="26">
        <v>0.36480000000000001</v>
      </c>
      <c r="F187" s="26"/>
      <c r="G187" s="26">
        <f>0.2145+0.0358</f>
        <v>0.25029999999999997</v>
      </c>
      <c r="H187" s="26">
        <v>3.3E-3</v>
      </c>
      <c r="I187" s="26">
        <v>1.6400000000000001E-2</v>
      </c>
      <c r="J187" s="26">
        <v>0.64339999999999997</v>
      </c>
      <c r="K187" s="26"/>
      <c r="L187" s="26">
        <v>4.99E-2</v>
      </c>
      <c r="M187" s="26"/>
      <c r="N187" s="26">
        <v>4.8800000000000003E-2</v>
      </c>
      <c r="O187" s="26"/>
      <c r="P187" s="28">
        <v>2.1</v>
      </c>
      <c r="Q187" s="25">
        <v>2.1</v>
      </c>
      <c r="R187" s="25">
        <v>1.74</v>
      </c>
      <c r="S187" s="25">
        <v>1.74</v>
      </c>
      <c r="T187" s="36">
        <v>1.3019000000000001</v>
      </c>
      <c r="U187" s="28">
        <f t="shared" si="12"/>
        <v>2.7339900000000004</v>
      </c>
      <c r="V187" s="28">
        <f t="shared" si="11"/>
        <v>2.7339900000000004</v>
      </c>
      <c r="W187" s="28">
        <f t="shared" si="9"/>
        <v>2.2653060000000003</v>
      </c>
      <c r="X187" s="34">
        <f t="shared" si="10"/>
        <v>2.2653060000000003</v>
      </c>
    </row>
    <row r="188" spans="1:24" x14ac:dyDescent="0.25">
      <c r="A188" s="22">
        <v>171</v>
      </c>
      <c r="B188" s="23" t="s">
        <v>201</v>
      </c>
      <c r="C188" s="24">
        <v>0.31590000000000001</v>
      </c>
      <c r="D188" s="25">
        <v>0.41120000000000001</v>
      </c>
      <c r="E188" s="26">
        <v>0.31609999999999999</v>
      </c>
      <c r="F188" s="26"/>
      <c r="G188" s="26">
        <f>0.202+0.0289</f>
        <v>0.23090000000000002</v>
      </c>
      <c r="H188" s="26">
        <v>2.5999999999999999E-3</v>
      </c>
      <c r="I188" s="26">
        <v>1.32E-2</v>
      </c>
      <c r="J188" s="26">
        <v>0.74690000000000001</v>
      </c>
      <c r="K188" s="26"/>
      <c r="L188" s="26">
        <v>5.1200000000000002E-2</v>
      </c>
      <c r="M188" s="26"/>
      <c r="N188" s="26">
        <v>4.6800000000000001E-2</v>
      </c>
      <c r="O188" s="26"/>
      <c r="P188" s="25">
        <v>2.13</v>
      </c>
      <c r="Q188" s="25">
        <v>2.13</v>
      </c>
      <c r="R188" s="25">
        <v>1.72</v>
      </c>
      <c r="S188" s="25">
        <v>1.72</v>
      </c>
      <c r="T188" s="36">
        <v>1.3407</v>
      </c>
      <c r="U188" s="28">
        <f t="shared" si="12"/>
        <v>2.8556909999999998</v>
      </c>
      <c r="V188" s="28">
        <f t="shared" si="11"/>
        <v>2.8556909999999998</v>
      </c>
      <c r="W188" s="28">
        <f t="shared" si="9"/>
        <v>2.3060040000000002</v>
      </c>
      <c r="X188" s="34">
        <f t="shared" si="10"/>
        <v>2.3060040000000002</v>
      </c>
    </row>
    <row r="189" spans="1:24" x14ac:dyDescent="0.25">
      <c r="A189" s="29">
        <v>172</v>
      </c>
      <c r="B189" s="23" t="s">
        <v>202</v>
      </c>
      <c r="C189" s="24">
        <v>0.49780000000000002</v>
      </c>
      <c r="D189" s="25">
        <v>0.44579999999999997</v>
      </c>
      <c r="E189" s="26">
        <v>0.29039999999999999</v>
      </c>
      <c r="F189" s="26"/>
      <c r="G189" s="26">
        <f>0.2281+0.0417+0.0326</f>
        <v>0.3024</v>
      </c>
      <c r="H189" s="26">
        <v>2.2000000000000001E-3</v>
      </c>
      <c r="I189" s="26">
        <v>1.09E-2</v>
      </c>
      <c r="J189" s="26">
        <v>0.82289999999999996</v>
      </c>
      <c r="K189" s="26"/>
      <c r="L189" s="26">
        <v>1.7000000000000001E-2</v>
      </c>
      <c r="M189" s="26">
        <v>6.0000000000000001E-3</v>
      </c>
      <c r="N189" s="26">
        <v>2.2700000000000001E-2</v>
      </c>
      <c r="O189" s="26"/>
      <c r="P189" s="25">
        <v>2.42</v>
      </c>
      <c r="Q189" s="25">
        <v>2.42</v>
      </c>
      <c r="R189" s="25">
        <v>1.97</v>
      </c>
      <c r="S189" s="25">
        <v>1.97</v>
      </c>
      <c r="T189" s="36">
        <v>1.2285999999999999</v>
      </c>
      <c r="U189" s="28">
        <f t="shared" si="12"/>
        <v>2.9732119999999997</v>
      </c>
      <c r="V189" s="28">
        <f t="shared" si="11"/>
        <v>2.9732119999999997</v>
      </c>
      <c r="W189" s="28">
        <f t="shared" si="9"/>
        <v>2.4203419999999998</v>
      </c>
      <c r="X189" s="34">
        <f t="shared" si="10"/>
        <v>2.4203419999999998</v>
      </c>
    </row>
    <row r="190" spans="1:24" x14ac:dyDescent="0.25">
      <c r="A190" s="39">
        <v>173</v>
      </c>
      <c r="B190" s="40" t="s">
        <v>203</v>
      </c>
      <c r="C190" s="41">
        <v>0.63670000000000004</v>
      </c>
      <c r="D190" s="42">
        <v>0.38990000000000002</v>
      </c>
      <c r="E190" s="43">
        <v>0.32340000000000002</v>
      </c>
      <c r="F190" s="43"/>
      <c r="G190" s="43">
        <f>0.2045+0.0415+0.0336</f>
        <v>0.27960000000000002</v>
      </c>
      <c r="H190" s="43">
        <v>2.5000000000000001E-3</v>
      </c>
      <c r="I190" s="43">
        <v>1.2500000000000001E-2</v>
      </c>
      <c r="J190" s="43">
        <v>0.66839999999999999</v>
      </c>
      <c r="K190" s="43"/>
      <c r="L190" s="43">
        <v>1.44E-2</v>
      </c>
      <c r="M190" s="43">
        <v>6.7000000000000002E-3</v>
      </c>
      <c r="N190" s="43">
        <v>2.1000000000000001E-2</v>
      </c>
      <c r="O190" s="43"/>
      <c r="P190" s="42">
        <v>2.35</v>
      </c>
      <c r="Q190" s="42">
        <v>2.35</v>
      </c>
      <c r="R190" s="42">
        <v>1.97</v>
      </c>
      <c r="S190" s="42">
        <v>1.97</v>
      </c>
      <c r="T190" s="44">
        <v>1.2524999999999999</v>
      </c>
      <c r="U190" s="45">
        <f t="shared" si="12"/>
        <v>2.9433750000000001</v>
      </c>
      <c r="V190" s="45">
        <f t="shared" si="11"/>
        <v>2.9433750000000001</v>
      </c>
      <c r="W190" s="45">
        <f t="shared" si="9"/>
        <v>2.467425</v>
      </c>
      <c r="X190" s="46">
        <f t="shared" si="10"/>
        <v>2.467425</v>
      </c>
    </row>
    <row r="191" spans="1:24" x14ac:dyDescent="0.25">
      <c r="A191" s="22">
        <v>174</v>
      </c>
      <c r="B191" s="23" t="s">
        <v>204</v>
      </c>
      <c r="C191" s="30">
        <v>0.26700000000000002</v>
      </c>
      <c r="D191" s="25">
        <v>0.36780000000000002</v>
      </c>
      <c r="E191" s="26">
        <v>0.72070000000000001</v>
      </c>
      <c r="F191" s="26"/>
      <c r="G191" s="26">
        <f>0.1082+0.0525+0.0367</f>
        <v>0.19740000000000002</v>
      </c>
      <c r="H191" s="26">
        <v>2.5999999999999999E-3</v>
      </c>
      <c r="I191" s="26">
        <v>1.2999999999999999E-2</v>
      </c>
      <c r="J191" s="26">
        <v>0.64539999999999997</v>
      </c>
      <c r="K191" s="26"/>
      <c r="L191" s="26">
        <v>1E-4</v>
      </c>
      <c r="M191" s="26">
        <v>6.6E-3</v>
      </c>
      <c r="N191" s="26">
        <v>0.1145</v>
      </c>
      <c r="O191" s="26"/>
      <c r="P191" s="25">
        <v>2.34</v>
      </c>
      <c r="Q191" s="25">
        <v>2.34</v>
      </c>
      <c r="R191" s="25">
        <v>1.97</v>
      </c>
      <c r="S191" s="25">
        <v>1.97</v>
      </c>
      <c r="T191" s="36">
        <v>1.4317</v>
      </c>
      <c r="U191" s="28">
        <f t="shared" si="12"/>
        <v>3.3501779999999997</v>
      </c>
      <c r="V191" s="28">
        <f t="shared" si="11"/>
        <v>3.3501779999999997</v>
      </c>
      <c r="W191" s="28">
        <f t="shared" si="9"/>
        <v>2.820449</v>
      </c>
      <c r="X191" s="34">
        <f t="shared" si="10"/>
        <v>2.820449</v>
      </c>
    </row>
    <row r="192" spans="1:24" x14ac:dyDescent="0.25">
      <c r="A192" s="29">
        <v>175</v>
      </c>
      <c r="B192" s="23" t="s">
        <v>205</v>
      </c>
      <c r="C192" s="24">
        <v>0.1608</v>
      </c>
      <c r="D192" s="31"/>
      <c r="E192" s="26">
        <v>0.435</v>
      </c>
      <c r="F192" s="26"/>
      <c r="G192" s="26">
        <f>0.2526+0.048</f>
        <v>0.30059999999999998</v>
      </c>
      <c r="H192" s="26">
        <v>2.9999999999999997E-4</v>
      </c>
      <c r="I192" s="26"/>
      <c r="J192" s="26">
        <v>0.51129999999999998</v>
      </c>
      <c r="K192" s="26"/>
      <c r="L192" s="26">
        <v>5.4100000000000002E-2</v>
      </c>
      <c r="M192" s="26"/>
      <c r="N192" s="26">
        <v>3.9800000000000002E-2</v>
      </c>
      <c r="O192" s="26"/>
      <c r="P192" s="28"/>
      <c r="Q192" s="25"/>
      <c r="R192" s="28">
        <v>1.5</v>
      </c>
      <c r="S192" s="28">
        <v>1.5</v>
      </c>
      <c r="T192" s="36">
        <v>1.5813999999999999</v>
      </c>
      <c r="U192" s="28"/>
      <c r="V192" s="28"/>
      <c r="W192" s="28">
        <v>2.38</v>
      </c>
      <c r="X192" s="34">
        <v>2.38</v>
      </c>
    </row>
    <row r="193" spans="1:24" x14ac:dyDescent="0.25">
      <c r="A193" s="22">
        <v>176</v>
      </c>
      <c r="B193" s="23" t="s">
        <v>206</v>
      </c>
      <c r="C193" s="24">
        <v>0.37669999999999998</v>
      </c>
      <c r="D193" s="25"/>
      <c r="E193" s="26">
        <v>0.25729999999999997</v>
      </c>
      <c r="F193" s="26"/>
      <c r="G193" s="26">
        <f>0.2396+0.0479</f>
        <v>0.28749999999999998</v>
      </c>
      <c r="H193" s="26">
        <v>2.9999999999999997E-4</v>
      </c>
      <c r="I193" s="26"/>
      <c r="J193" s="26">
        <v>0.49440000000000001</v>
      </c>
      <c r="K193" s="26"/>
      <c r="L193" s="26">
        <v>5.1499999999999997E-2</v>
      </c>
      <c r="M193" s="26"/>
      <c r="N193" s="26">
        <v>3.9800000000000002E-2</v>
      </c>
      <c r="O193" s="26"/>
      <c r="P193" s="25"/>
      <c r="Q193" s="25"/>
      <c r="R193" s="25">
        <v>1.51</v>
      </c>
      <c r="S193" s="25">
        <v>1.51</v>
      </c>
      <c r="T193" s="36">
        <v>1.4888999999999999</v>
      </c>
      <c r="U193" s="28"/>
      <c r="V193" s="28"/>
      <c r="W193" s="28">
        <f t="shared" si="9"/>
        <v>2.2482389999999999</v>
      </c>
      <c r="X193" s="34">
        <f t="shared" si="10"/>
        <v>2.2482389999999999</v>
      </c>
    </row>
    <row r="194" spans="1:24" x14ac:dyDescent="0.25">
      <c r="A194" s="22">
        <v>177</v>
      </c>
      <c r="B194" s="23" t="s">
        <v>207</v>
      </c>
      <c r="C194" s="24">
        <v>0.2979</v>
      </c>
      <c r="D194" s="25"/>
      <c r="E194" s="26">
        <v>0.31759999999999999</v>
      </c>
      <c r="F194" s="26"/>
      <c r="G194" s="26">
        <f>0.249+0.0472</f>
        <v>0.29620000000000002</v>
      </c>
      <c r="H194" s="26">
        <v>2.9999999999999997E-4</v>
      </c>
      <c r="I194" s="26"/>
      <c r="J194" s="26">
        <v>0.48799999999999999</v>
      </c>
      <c r="K194" s="26"/>
      <c r="L194" s="26">
        <v>5.3600000000000002E-2</v>
      </c>
      <c r="M194" s="26"/>
      <c r="N194" s="26">
        <v>4.1300000000000003E-2</v>
      </c>
      <c r="O194" s="26"/>
      <c r="P194" s="25"/>
      <c r="Q194" s="25"/>
      <c r="R194" s="25">
        <v>1.49</v>
      </c>
      <c r="S194" s="25">
        <v>1.49</v>
      </c>
      <c r="T194" s="36">
        <v>1.4784999999999999</v>
      </c>
      <c r="U194" s="28"/>
      <c r="V194" s="28"/>
      <c r="W194" s="28">
        <v>2.21</v>
      </c>
      <c r="X194" s="34">
        <v>2.21</v>
      </c>
    </row>
    <row r="195" spans="1:24" x14ac:dyDescent="0.25">
      <c r="A195" s="29">
        <v>178</v>
      </c>
      <c r="B195" s="23" t="s">
        <v>208</v>
      </c>
      <c r="C195" s="24">
        <v>0.1396</v>
      </c>
      <c r="D195" s="25"/>
      <c r="E195" s="26">
        <v>0.39660000000000001</v>
      </c>
      <c r="F195" s="26"/>
      <c r="G195" s="26">
        <f>0.2685+0.0481</f>
        <v>0.31659999999999999</v>
      </c>
      <c r="H195" s="26">
        <v>2.9999999999999997E-4</v>
      </c>
      <c r="I195" s="26"/>
      <c r="J195" s="26">
        <v>0.55989999999999995</v>
      </c>
      <c r="K195" s="26"/>
      <c r="L195" s="26">
        <v>5.7700000000000001E-2</v>
      </c>
      <c r="M195" s="26"/>
      <c r="N195" s="26">
        <v>4.4600000000000001E-2</v>
      </c>
      <c r="O195" s="26"/>
      <c r="P195" s="25"/>
      <c r="Q195" s="25"/>
      <c r="R195" s="25">
        <v>1.52</v>
      </c>
      <c r="S195" s="25">
        <v>1.52</v>
      </c>
      <c r="T195" s="36">
        <v>1.6066</v>
      </c>
      <c r="U195" s="28"/>
      <c r="V195" s="28"/>
      <c r="W195" s="28">
        <f t="shared" si="9"/>
        <v>2.4420320000000002</v>
      </c>
      <c r="X195" s="34">
        <f t="shared" si="10"/>
        <v>2.4420320000000002</v>
      </c>
    </row>
    <row r="196" spans="1:24" x14ac:dyDescent="0.25">
      <c r="A196" s="22">
        <v>179</v>
      </c>
      <c r="B196" s="23" t="s">
        <v>209</v>
      </c>
      <c r="C196" s="24">
        <v>0.16750000000000001</v>
      </c>
      <c r="D196" s="25"/>
      <c r="E196" s="26">
        <v>0.49769999999999998</v>
      </c>
      <c r="F196" s="26"/>
      <c r="G196" s="26">
        <f>0.2355+0.0474</f>
        <v>0.28289999999999998</v>
      </c>
      <c r="H196" s="26">
        <v>2.9999999999999997E-4</v>
      </c>
      <c r="I196" s="26"/>
      <c r="J196" s="26">
        <v>0.48010000000000003</v>
      </c>
      <c r="K196" s="26"/>
      <c r="L196" s="26">
        <v>0.05</v>
      </c>
      <c r="M196" s="26"/>
      <c r="N196" s="26">
        <v>4.3900000000000002E-2</v>
      </c>
      <c r="O196" s="26"/>
      <c r="P196" s="25"/>
      <c r="Q196" s="25"/>
      <c r="R196" s="25">
        <v>1.52</v>
      </c>
      <c r="S196" s="25">
        <v>1.52</v>
      </c>
      <c r="T196" s="36">
        <v>1.6011</v>
      </c>
      <c r="U196" s="28"/>
      <c r="V196" s="28"/>
      <c r="W196" s="28">
        <v>2.44</v>
      </c>
      <c r="X196" s="34">
        <v>2.44</v>
      </c>
    </row>
    <row r="197" spans="1:24" x14ac:dyDescent="0.25">
      <c r="A197" s="22">
        <v>180</v>
      </c>
      <c r="B197" s="23" t="s">
        <v>210</v>
      </c>
      <c r="C197" s="24">
        <v>0.63119999999999998</v>
      </c>
      <c r="D197" s="25">
        <v>0.53979999999999995</v>
      </c>
      <c r="E197" s="26">
        <v>0.26390000000000002</v>
      </c>
      <c r="F197" s="26"/>
      <c r="G197" s="26">
        <f>0.1814+0.033</f>
        <v>0.21440000000000001</v>
      </c>
      <c r="H197" s="26"/>
      <c r="I197" s="26"/>
      <c r="J197" s="26">
        <v>0.42130000000000001</v>
      </c>
      <c r="K197" s="26"/>
      <c r="L197" s="26">
        <v>4.5999999999999999E-2</v>
      </c>
      <c r="M197" s="26"/>
      <c r="N197" s="26">
        <v>2.3300000000000001E-2</v>
      </c>
      <c r="O197" s="26"/>
      <c r="P197" s="25">
        <v>2.14</v>
      </c>
      <c r="Q197" s="25">
        <v>2.14</v>
      </c>
      <c r="R197" s="25">
        <v>1.6</v>
      </c>
      <c r="S197" s="25">
        <v>1.6</v>
      </c>
      <c r="T197" s="36">
        <v>1.3345</v>
      </c>
      <c r="U197" s="28">
        <f t="shared" si="12"/>
        <v>2.8558300000000001</v>
      </c>
      <c r="V197" s="28">
        <f t="shared" si="11"/>
        <v>2.8558300000000001</v>
      </c>
      <c r="W197" s="28">
        <f t="shared" si="9"/>
        <v>2.1352000000000002</v>
      </c>
      <c r="X197" s="34">
        <f t="shared" si="10"/>
        <v>2.1352000000000002</v>
      </c>
    </row>
    <row r="198" spans="1:24" x14ac:dyDescent="0.25">
      <c r="A198" s="29">
        <v>181</v>
      </c>
      <c r="B198" s="23" t="s">
        <v>211</v>
      </c>
      <c r="C198" s="24">
        <v>0.3175</v>
      </c>
      <c r="D198" s="25"/>
      <c r="E198" s="26">
        <v>0.33389999999999997</v>
      </c>
      <c r="F198" s="26"/>
      <c r="G198" s="26">
        <f>0.211+0.0422</f>
        <v>0.25319999999999998</v>
      </c>
      <c r="H198" s="26">
        <v>1E-4</v>
      </c>
      <c r="I198" s="26"/>
      <c r="J198" s="26">
        <v>0.53810000000000002</v>
      </c>
      <c r="K198" s="26"/>
      <c r="L198" s="26">
        <v>4.4200000000000003E-2</v>
      </c>
      <c r="M198" s="26"/>
      <c r="N198" s="26">
        <v>2.6700000000000002E-2</v>
      </c>
      <c r="O198" s="26"/>
      <c r="P198" s="25"/>
      <c r="Q198" s="25"/>
      <c r="R198" s="25">
        <v>1.51</v>
      </c>
      <c r="S198" s="25">
        <v>1.51</v>
      </c>
      <c r="T198" s="36">
        <v>1.4452</v>
      </c>
      <c r="U198" s="28"/>
      <c r="V198" s="28"/>
      <c r="W198" s="28">
        <f t="shared" si="9"/>
        <v>2.1822520000000001</v>
      </c>
      <c r="X198" s="34">
        <f t="shared" si="10"/>
        <v>2.1822520000000001</v>
      </c>
    </row>
    <row r="199" spans="1:24" x14ac:dyDescent="0.25">
      <c r="A199" s="22">
        <v>182</v>
      </c>
      <c r="B199" s="23" t="s">
        <v>212</v>
      </c>
      <c r="C199" s="24">
        <v>0.40739999999999998</v>
      </c>
      <c r="D199" s="25"/>
      <c r="E199" s="26">
        <v>0.26850000000000002</v>
      </c>
      <c r="F199" s="26"/>
      <c r="G199" s="26">
        <f>0.2105+0.0421</f>
        <v>0.25259999999999999</v>
      </c>
      <c r="H199" s="26">
        <v>1E-4</v>
      </c>
      <c r="I199" s="26"/>
      <c r="J199" s="26">
        <v>0.50729999999999997</v>
      </c>
      <c r="K199" s="26"/>
      <c r="L199" s="26">
        <v>4.2000000000000003E-2</v>
      </c>
      <c r="M199" s="26"/>
      <c r="N199" s="26">
        <v>2.53E-2</v>
      </c>
      <c r="O199" s="26"/>
      <c r="P199" s="28"/>
      <c r="Q199" s="25"/>
      <c r="R199" s="28">
        <v>1.5</v>
      </c>
      <c r="S199" s="28">
        <v>1.5</v>
      </c>
      <c r="T199" s="36">
        <v>1.476</v>
      </c>
      <c r="U199" s="28"/>
      <c r="V199" s="28"/>
      <c r="W199" s="28">
        <f t="shared" si="9"/>
        <v>2.214</v>
      </c>
      <c r="X199" s="34">
        <f t="shared" si="10"/>
        <v>2.214</v>
      </c>
    </row>
    <row r="200" spans="1:24" x14ac:dyDescent="0.25">
      <c r="A200" s="22">
        <v>183</v>
      </c>
      <c r="B200" s="23" t="s">
        <v>213</v>
      </c>
      <c r="C200" s="24">
        <v>0.43240000000000001</v>
      </c>
      <c r="D200" s="25">
        <v>0.38650000000000001</v>
      </c>
      <c r="E200" s="26">
        <v>0.2702</v>
      </c>
      <c r="F200" s="26"/>
      <c r="G200" s="26">
        <f>0.1993+0.0332</f>
        <v>0.23250000000000001</v>
      </c>
      <c r="H200" s="26">
        <v>2.3999999999999998E-3</v>
      </c>
      <c r="I200" s="26">
        <v>1.1900000000000001E-2</v>
      </c>
      <c r="J200" s="26">
        <v>0.70320000000000005</v>
      </c>
      <c r="K200" s="26"/>
      <c r="L200" s="26">
        <v>4.7699999999999999E-2</v>
      </c>
      <c r="M200" s="26">
        <v>6.1999999999999998E-3</v>
      </c>
      <c r="N200" s="26">
        <v>1.55E-2</v>
      </c>
      <c r="O200" s="26"/>
      <c r="P200" s="25">
        <v>2.11</v>
      </c>
      <c r="Q200" s="25">
        <v>2.11</v>
      </c>
      <c r="R200" s="25">
        <v>1.72</v>
      </c>
      <c r="S200" s="25">
        <v>1.72</v>
      </c>
      <c r="T200" s="52">
        <v>1.3302</v>
      </c>
      <c r="U200" s="28">
        <f t="shared" si="12"/>
        <v>2.8067219999999997</v>
      </c>
      <c r="V200" s="28">
        <f t="shared" si="11"/>
        <v>2.8067219999999997</v>
      </c>
      <c r="W200" s="28">
        <f t="shared" si="9"/>
        <v>2.287944</v>
      </c>
      <c r="X200" s="34">
        <f t="shared" si="10"/>
        <v>2.287944</v>
      </c>
    </row>
    <row r="201" spans="1:24" x14ac:dyDescent="0.25">
      <c r="A201" s="29">
        <v>184</v>
      </c>
      <c r="B201" s="23" t="s">
        <v>214</v>
      </c>
      <c r="C201" s="24">
        <v>0.26769999999999999</v>
      </c>
      <c r="D201" s="31">
        <v>0.35599999999999998</v>
      </c>
      <c r="E201" s="26">
        <v>0.37030000000000002</v>
      </c>
      <c r="F201" s="26"/>
      <c r="G201" s="26">
        <f>0.2178+0.0363</f>
        <v>0.25409999999999999</v>
      </c>
      <c r="H201" s="26">
        <v>3.3E-3</v>
      </c>
      <c r="I201" s="26">
        <v>1.66E-2</v>
      </c>
      <c r="J201" s="26">
        <v>0.68820000000000003</v>
      </c>
      <c r="K201" s="26"/>
      <c r="L201" s="26">
        <v>5.0599999999999999E-2</v>
      </c>
      <c r="M201" s="26">
        <v>8.3999999999999995E-3</v>
      </c>
      <c r="N201" s="26">
        <v>4.8899999999999999E-2</v>
      </c>
      <c r="O201" s="26"/>
      <c r="P201" s="25">
        <v>2.06</v>
      </c>
      <c r="Q201" s="25">
        <v>2.06</v>
      </c>
      <c r="R201" s="25">
        <v>1.71</v>
      </c>
      <c r="S201" s="25">
        <v>1.71</v>
      </c>
      <c r="T201" s="36">
        <v>1.3424</v>
      </c>
      <c r="U201" s="28">
        <f t="shared" si="12"/>
        <v>2.7653440000000002</v>
      </c>
      <c r="V201" s="28">
        <f t="shared" si="11"/>
        <v>2.7653440000000002</v>
      </c>
      <c r="W201" s="28">
        <f t="shared" si="9"/>
        <v>2.2955040000000002</v>
      </c>
      <c r="X201" s="34">
        <f t="shared" si="10"/>
        <v>2.2955040000000002</v>
      </c>
    </row>
    <row r="202" spans="1:24" x14ac:dyDescent="0.25">
      <c r="A202" s="22">
        <v>185</v>
      </c>
      <c r="B202" s="23" t="s">
        <v>215</v>
      </c>
      <c r="C202" s="24">
        <v>0.45329999999999998</v>
      </c>
      <c r="D202" s="31">
        <v>0.44259999999999999</v>
      </c>
      <c r="E202" s="26">
        <v>0.25900000000000001</v>
      </c>
      <c r="F202" s="26"/>
      <c r="G202" s="26">
        <f>0.1766+0.0442</f>
        <v>0.2208</v>
      </c>
      <c r="H202" s="26">
        <v>1.1999999999999999E-3</v>
      </c>
      <c r="I202" s="26">
        <v>5.8999999999999999E-3</v>
      </c>
      <c r="J202" s="26">
        <v>0.67449999999999999</v>
      </c>
      <c r="K202" s="26"/>
      <c r="L202" s="26">
        <v>4.8399999999999999E-2</v>
      </c>
      <c r="M202" s="26">
        <v>3.0000000000000001E-3</v>
      </c>
      <c r="N202" s="26">
        <v>0.04</v>
      </c>
      <c r="O202" s="26"/>
      <c r="P202" s="25">
        <v>2.15</v>
      </c>
      <c r="Q202" s="25">
        <v>2.15</v>
      </c>
      <c r="R202" s="25">
        <v>1.71</v>
      </c>
      <c r="S202" s="25">
        <v>1.71</v>
      </c>
      <c r="T202" s="36">
        <v>1.4144000000000001</v>
      </c>
      <c r="U202" s="28">
        <f t="shared" si="12"/>
        <v>3.0409600000000001</v>
      </c>
      <c r="V202" s="28">
        <f t="shared" si="11"/>
        <v>3.0409600000000001</v>
      </c>
      <c r="W202" s="28">
        <f t="shared" si="9"/>
        <v>2.4186240000000003</v>
      </c>
      <c r="X202" s="34">
        <f t="shared" si="10"/>
        <v>2.4186240000000003</v>
      </c>
    </row>
    <row r="203" spans="1:24" x14ac:dyDescent="0.25">
      <c r="A203" s="22">
        <v>186</v>
      </c>
      <c r="B203" s="23" t="s">
        <v>216</v>
      </c>
      <c r="C203" s="24">
        <v>0.3891</v>
      </c>
      <c r="D203" s="25">
        <v>0.43859999999999999</v>
      </c>
      <c r="E203" s="26">
        <v>0.29559999999999997</v>
      </c>
      <c r="F203" s="26"/>
      <c r="G203" s="26">
        <f>0.2397+0.0426</f>
        <v>0.2823</v>
      </c>
      <c r="H203" s="26">
        <v>1.1000000000000001E-3</v>
      </c>
      <c r="I203" s="26">
        <v>5.4000000000000003E-3</v>
      </c>
      <c r="J203" s="26">
        <v>0.65820000000000001</v>
      </c>
      <c r="K203" s="26"/>
      <c r="L203" s="26">
        <v>5.57E-2</v>
      </c>
      <c r="M203" s="26">
        <v>2.7000000000000001E-3</v>
      </c>
      <c r="N203" s="26">
        <v>3.8899999999999997E-2</v>
      </c>
      <c r="O203" s="26"/>
      <c r="P203" s="25">
        <v>2.17</v>
      </c>
      <c r="Q203" s="25">
        <v>2.17</v>
      </c>
      <c r="R203" s="25">
        <v>1.73</v>
      </c>
      <c r="S203" s="25">
        <v>1.73</v>
      </c>
      <c r="T203" s="36">
        <v>1.3642000000000001</v>
      </c>
      <c r="U203" s="28">
        <f t="shared" si="12"/>
        <v>2.9603139999999999</v>
      </c>
      <c r="V203" s="28">
        <f t="shared" si="11"/>
        <v>2.9603139999999999</v>
      </c>
      <c r="W203" s="28">
        <f t="shared" si="9"/>
        <v>2.3600660000000002</v>
      </c>
      <c r="X203" s="34">
        <f t="shared" si="10"/>
        <v>2.3600660000000002</v>
      </c>
    </row>
    <row r="204" spans="1:24" x14ac:dyDescent="0.25">
      <c r="A204" s="29">
        <v>187</v>
      </c>
      <c r="B204" s="23" t="s">
        <v>217</v>
      </c>
      <c r="C204" s="24">
        <v>0.20130000000000001</v>
      </c>
      <c r="D204" s="25"/>
      <c r="E204" s="26">
        <v>0.32440000000000002</v>
      </c>
      <c r="F204" s="26"/>
      <c r="G204" s="26">
        <f>0.2826+0.0424</f>
        <v>0.32500000000000001</v>
      </c>
      <c r="H204" s="26">
        <v>2.9999999999999997E-4</v>
      </c>
      <c r="I204" s="26"/>
      <c r="J204" s="26">
        <v>0.57030000000000003</v>
      </c>
      <c r="K204" s="26"/>
      <c r="L204" s="26">
        <v>5.4899999999999997E-2</v>
      </c>
      <c r="M204" s="26"/>
      <c r="N204" s="26">
        <v>4.4600000000000001E-2</v>
      </c>
      <c r="O204" s="26"/>
      <c r="P204" s="25"/>
      <c r="Q204" s="25"/>
      <c r="R204" s="25">
        <v>1.52</v>
      </c>
      <c r="S204" s="25">
        <v>1.52</v>
      </c>
      <c r="T204" s="36">
        <v>1.3332999999999999</v>
      </c>
      <c r="U204" s="28"/>
      <c r="V204" s="28"/>
      <c r="W204" s="28">
        <f t="shared" si="9"/>
        <v>2.0266159999999998</v>
      </c>
      <c r="X204" s="34">
        <f t="shared" si="10"/>
        <v>2.0266159999999998</v>
      </c>
    </row>
    <row r="205" spans="1:24" x14ac:dyDescent="0.25">
      <c r="A205" s="22">
        <v>188</v>
      </c>
      <c r="B205" s="23" t="s">
        <v>218</v>
      </c>
      <c r="C205" s="24">
        <v>0.35249999999999998</v>
      </c>
      <c r="D205" s="31">
        <v>0.88500000000000001</v>
      </c>
      <c r="E205" s="26">
        <v>0.24629999999999999</v>
      </c>
      <c r="F205" s="26"/>
      <c r="G205" s="26">
        <f>0.1046+0.0262</f>
        <v>0.1308</v>
      </c>
      <c r="H205" s="26">
        <v>2.0999999999999999E-3</v>
      </c>
      <c r="I205" s="26">
        <v>1.0699999999999999E-2</v>
      </c>
      <c r="J205" s="26">
        <v>0.93879999999999997</v>
      </c>
      <c r="K205" s="26"/>
      <c r="L205" s="26">
        <v>4.2299999999999997E-2</v>
      </c>
      <c r="M205" s="26">
        <v>7.9000000000000008E-3</v>
      </c>
      <c r="N205" s="26">
        <v>0.1552</v>
      </c>
      <c r="O205" s="26"/>
      <c r="P205" s="25">
        <v>2.77</v>
      </c>
      <c r="Q205" s="25">
        <v>2.77</v>
      </c>
      <c r="R205" s="25">
        <v>1.89</v>
      </c>
      <c r="S205" s="25">
        <v>1.89</v>
      </c>
      <c r="T205" s="36">
        <v>1.4026000000000001</v>
      </c>
      <c r="U205" s="28">
        <f t="shared" si="12"/>
        <v>3.885202</v>
      </c>
      <c r="V205" s="28">
        <f t="shared" si="11"/>
        <v>3.885202</v>
      </c>
      <c r="W205" s="28">
        <f t="shared" si="9"/>
        <v>2.6509140000000002</v>
      </c>
      <c r="X205" s="34">
        <f t="shared" si="10"/>
        <v>2.6509140000000002</v>
      </c>
    </row>
    <row r="206" spans="1:24" x14ac:dyDescent="0.25">
      <c r="A206" s="22">
        <v>189</v>
      </c>
      <c r="B206" s="23" t="s">
        <v>219</v>
      </c>
      <c r="C206" s="24">
        <v>9.4700000000000006E-2</v>
      </c>
      <c r="D206" s="31"/>
      <c r="E206" s="26">
        <v>0.48170000000000002</v>
      </c>
      <c r="F206" s="26"/>
      <c r="G206" s="26">
        <f>0.2563+0.0472</f>
        <v>0.30349999999999999</v>
      </c>
      <c r="H206" s="26">
        <v>2.9999999999999997E-4</v>
      </c>
      <c r="I206" s="26"/>
      <c r="J206" s="26">
        <v>0.55379999999999996</v>
      </c>
      <c r="K206" s="26"/>
      <c r="L206" s="26">
        <v>4.8399999999999999E-2</v>
      </c>
      <c r="M206" s="26"/>
      <c r="N206" s="26">
        <v>4.2500000000000003E-2</v>
      </c>
      <c r="O206" s="26"/>
      <c r="P206" s="25"/>
      <c r="Q206" s="25"/>
      <c r="R206" s="25">
        <v>1.53</v>
      </c>
      <c r="S206" s="25">
        <v>1.53</v>
      </c>
      <c r="T206" s="36">
        <v>1.3738999999999999</v>
      </c>
      <c r="U206" s="28"/>
      <c r="V206" s="28"/>
      <c r="W206" s="28">
        <f t="shared" si="9"/>
        <v>2.1020669999999999</v>
      </c>
      <c r="X206" s="34">
        <f t="shared" si="10"/>
        <v>2.1020669999999999</v>
      </c>
    </row>
    <row r="207" spans="1:24" x14ac:dyDescent="0.25">
      <c r="A207" s="29">
        <v>190</v>
      </c>
      <c r="B207" s="23" t="s">
        <v>220</v>
      </c>
      <c r="C207" s="24">
        <v>0.35730000000000001</v>
      </c>
      <c r="D207" s="25">
        <v>0.89839999999999998</v>
      </c>
      <c r="E207" s="26">
        <v>0.22070000000000001</v>
      </c>
      <c r="F207" s="26"/>
      <c r="G207" s="26">
        <f>0.1284+0.0321</f>
        <v>0.16049999999999998</v>
      </c>
      <c r="H207" s="26">
        <v>1.2999999999999999E-3</v>
      </c>
      <c r="I207" s="26">
        <v>6.4000000000000003E-3</v>
      </c>
      <c r="J207" s="26">
        <v>0.95879999999999999</v>
      </c>
      <c r="K207" s="26"/>
      <c r="L207" s="26">
        <v>3.9199999999999999E-2</v>
      </c>
      <c r="M207" s="26">
        <v>4.3E-3</v>
      </c>
      <c r="N207" s="26">
        <v>0.13039999999999999</v>
      </c>
      <c r="O207" s="26"/>
      <c r="P207" s="25">
        <v>2.78</v>
      </c>
      <c r="Q207" s="25">
        <v>2.78</v>
      </c>
      <c r="R207" s="25">
        <v>1.88</v>
      </c>
      <c r="S207" s="25">
        <v>1.88</v>
      </c>
      <c r="T207" s="36">
        <v>1.3687</v>
      </c>
      <c r="U207" s="28">
        <v>3.81</v>
      </c>
      <c r="V207" s="28">
        <v>3.81</v>
      </c>
      <c r="W207" s="28">
        <f t="shared" si="9"/>
        <v>2.573156</v>
      </c>
      <c r="X207" s="34">
        <f t="shared" si="10"/>
        <v>2.573156</v>
      </c>
    </row>
    <row r="208" spans="1:24" x14ac:dyDescent="0.25">
      <c r="A208" s="22">
        <v>191</v>
      </c>
      <c r="B208" s="23" t="s">
        <v>221</v>
      </c>
      <c r="C208" s="24">
        <v>9.9199999999999997E-2</v>
      </c>
      <c r="D208" s="25"/>
      <c r="E208" s="26">
        <v>0.4869</v>
      </c>
      <c r="F208" s="26"/>
      <c r="G208" s="26">
        <f>0.2687+0.0481</f>
        <v>0.31679999999999997</v>
      </c>
      <c r="H208" s="26">
        <v>2.9999999999999997E-4</v>
      </c>
      <c r="I208" s="26"/>
      <c r="J208" s="26">
        <v>0.52969999999999995</v>
      </c>
      <c r="K208" s="26"/>
      <c r="L208" s="26">
        <v>4.9299999999999997E-2</v>
      </c>
      <c r="M208" s="26"/>
      <c r="N208" s="26">
        <v>4.4600000000000001E-2</v>
      </c>
      <c r="O208" s="26"/>
      <c r="P208" s="25"/>
      <c r="Q208" s="25"/>
      <c r="R208" s="25">
        <v>1.53</v>
      </c>
      <c r="S208" s="25">
        <v>1.53</v>
      </c>
      <c r="T208" s="36">
        <v>1.3851</v>
      </c>
      <c r="U208" s="28"/>
      <c r="V208" s="28"/>
      <c r="W208" s="28">
        <f t="shared" si="9"/>
        <v>2.1192030000000002</v>
      </c>
      <c r="X208" s="34">
        <f t="shared" si="10"/>
        <v>2.1192030000000002</v>
      </c>
    </row>
    <row r="209" spans="1:24" x14ac:dyDescent="0.25">
      <c r="A209" s="22">
        <v>192</v>
      </c>
      <c r="B209" s="23" t="s">
        <v>222</v>
      </c>
      <c r="C209" s="24">
        <v>0.2369</v>
      </c>
      <c r="D209" s="25"/>
      <c r="E209" s="26">
        <v>0.2208</v>
      </c>
      <c r="F209" s="26"/>
      <c r="G209" s="26">
        <f>0.2308+0.0577</f>
        <v>0.28849999999999998</v>
      </c>
      <c r="H209" s="26">
        <v>1.2999999999999999E-3</v>
      </c>
      <c r="I209" s="26"/>
      <c r="J209" s="26">
        <v>0.54620000000000002</v>
      </c>
      <c r="K209" s="26"/>
      <c r="L209" s="26">
        <v>2.8799999999999999E-2</v>
      </c>
      <c r="M209" s="26"/>
      <c r="N209" s="26">
        <v>3.3099999999999997E-2</v>
      </c>
      <c r="O209" s="26"/>
      <c r="P209" s="25"/>
      <c r="Q209" s="25"/>
      <c r="R209" s="25">
        <v>1.36</v>
      </c>
      <c r="S209" s="25">
        <v>1.36</v>
      </c>
      <c r="T209" s="35">
        <v>1.288</v>
      </c>
      <c r="U209" s="28"/>
      <c r="V209" s="28"/>
      <c r="W209" s="28">
        <f t="shared" si="9"/>
        <v>1.7516800000000001</v>
      </c>
      <c r="X209" s="34">
        <f t="shared" si="10"/>
        <v>1.7516800000000001</v>
      </c>
    </row>
    <row r="210" spans="1:24" x14ac:dyDescent="0.25">
      <c r="A210" s="29">
        <v>193</v>
      </c>
      <c r="B210" s="23" t="s">
        <v>223</v>
      </c>
      <c r="C210" s="24">
        <v>0.42220000000000002</v>
      </c>
      <c r="D210" s="25"/>
      <c r="E210" s="26">
        <v>0.26079999999999998</v>
      </c>
      <c r="F210" s="26"/>
      <c r="G210" s="26">
        <f>0.2115+0.0423</f>
        <v>0.25379999999999997</v>
      </c>
      <c r="H210" s="26">
        <v>2.0000000000000001E-4</v>
      </c>
      <c r="I210" s="26"/>
      <c r="J210" s="26">
        <v>0.51739999999999997</v>
      </c>
      <c r="K210" s="26"/>
      <c r="L210" s="26">
        <v>4.2200000000000001E-2</v>
      </c>
      <c r="M210" s="26"/>
      <c r="N210" s="26">
        <v>2.2200000000000001E-2</v>
      </c>
      <c r="O210" s="26"/>
      <c r="P210" s="25"/>
      <c r="Q210" s="25"/>
      <c r="R210" s="25">
        <v>1.52</v>
      </c>
      <c r="S210" s="25">
        <v>1.52</v>
      </c>
      <c r="T210" s="36">
        <v>1.4894000000000001</v>
      </c>
      <c r="U210" s="28"/>
      <c r="V210" s="28"/>
      <c r="W210" s="28">
        <f t="shared" si="9"/>
        <v>2.2638880000000001</v>
      </c>
      <c r="X210" s="34">
        <f t="shared" si="10"/>
        <v>2.2638880000000001</v>
      </c>
    </row>
    <row r="211" spans="1:24" x14ac:dyDescent="0.25">
      <c r="A211" s="22">
        <v>194</v>
      </c>
      <c r="B211" s="23" t="s">
        <v>224</v>
      </c>
      <c r="C211" s="24">
        <v>4.4900000000000002E-2</v>
      </c>
      <c r="D211" s="25"/>
      <c r="E211" s="26">
        <v>0.3947</v>
      </c>
      <c r="F211" s="26"/>
      <c r="G211" s="26"/>
      <c r="H211" s="26"/>
      <c r="I211" s="26"/>
      <c r="J211" s="26"/>
      <c r="K211" s="26"/>
      <c r="L211" s="26">
        <v>3.0800000000000001E-2</v>
      </c>
      <c r="M211" s="26"/>
      <c r="N211" s="26"/>
      <c r="O211" s="26"/>
      <c r="P211" s="25"/>
      <c r="Q211" s="25"/>
      <c r="R211" s="25"/>
      <c r="S211" s="25">
        <v>0.47</v>
      </c>
      <c r="T211" s="36">
        <v>1.6763999999999999</v>
      </c>
      <c r="U211" s="28"/>
      <c r="V211" s="28"/>
      <c r="W211" s="28"/>
      <c r="X211" s="34">
        <f t="shared" si="10"/>
        <v>0.78790799999999994</v>
      </c>
    </row>
    <row r="212" spans="1:24" x14ac:dyDescent="0.25">
      <c r="A212" s="29">
        <v>195</v>
      </c>
      <c r="B212" s="23" t="s">
        <v>225</v>
      </c>
      <c r="C212" s="24">
        <v>2.3599999999999999E-2</v>
      </c>
      <c r="D212" s="25"/>
      <c r="E212" s="26">
        <v>0.92220000000000002</v>
      </c>
      <c r="F212" s="26"/>
      <c r="G212" s="26"/>
      <c r="H212" s="26"/>
      <c r="I212" s="26"/>
      <c r="J212" s="26"/>
      <c r="K212" s="26"/>
      <c r="L212" s="26">
        <v>3.5999999999999997E-2</v>
      </c>
      <c r="M212" s="26"/>
      <c r="N212" s="26"/>
      <c r="O212" s="26"/>
      <c r="P212" s="25"/>
      <c r="Q212" s="25"/>
      <c r="R212" s="25"/>
      <c r="S212" s="25">
        <v>0.98</v>
      </c>
      <c r="T212" s="36">
        <v>1.571</v>
      </c>
      <c r="U212" s="28"/>
      <c r="V212" s="28"/>
      <c r="W212" s="28"/>
      <c r="X212" s="34">
        <f t="shared" si="10"/>
        <v>1.5395799999999999</v>
      </c>
    </row>
    <row r="213" spans="1:24" x14ac:dyDescent="0.25">
      <c r="A213" s="22">
        <v>196</v>
      </c>
      <c r="B213" s="23" t="s">
        <v>226</v>
      </c>
      <c r="C213" s="24">
        <v>4.2099999999999999E-2</v>
      </c>
      <c r="D213" s="25"/>
      <c r="E213" s="26">
        <v>0.45190000000000002</v>
      </c>
      <c r="F213" s="26"/>
      <c r="G213" s="26"/>
      <c r="H213" s="26"/>
      <c r="I213" s="26"/>
      <c r="J213" s="26"/>
      <c r="K213" s="26"/>
      <c r="L213" s="26">
        <v>3.5299999999999998E-2</v>
      </c>
      <c r="M213" s="26"/>
      <c r="N213" s="26"/>
      <c r="O213" s="26"/>
      <c r="P213" s="25"/>
      <c r="Q213" s="25"/>
      <c r="R213" s="25"/>
      <c r="S213" s="25">
        <v>0.53</v>
      </c>
      <c r="T213" s="35">
        <v>1.6883999999999999</v>
      </c>
      <c r="U213" s="28"/>
      <c r="V213" s="28"/>
      <c r="W213" s="28"/>
      <c r="X213" s="34">
        <f t="shared" si="10"/>
        <v>0.89485199999999998</v>
      </c>
    </row>
    <row r="214" spans="1:24" ht="15.75" thickBot="1" x14ac:dyDescent="0.3">
      <c r="A214" s="53">
        <v>197</v>
      </c>
      <c r="B214" s="54" t="s">
        <v>227</v>
      </c>
      <c r="C214" s="55">
        <v>4.8800000000000003E-2</v>
      </c>
      <c r="D214" s="56"/>
      <c r="E214" s="57">
        <v>0.86150000000000004</v>
      </c>
      <c r="F214" s="57"/>
      <c r="G214" s="57"/>
      <c r="H214" s="57"/>
      <c r="I214" s="57"/>
      <c r="J214" s="57"/>
      <c r="K214" s="57"/>
      <c r="L214" s="57">
        <v>3.3700000000000001E-2</v>
      </c>
      <c r="M214" s="57"/>
      <c r="N214" s="57"/>
      <c r="O214" s="57"/>
      <c r="P214" s="56"/>
      <c r="Q214" s="56"/>
      <c r="R214" s="56"/>
      <c r="S214" s="56">
        <v>0.94</v>
      </c>
      <c r="T214" s="58">
        <v>1.5548999999999999</v>
      </c>
      <c r="U214" s="59"/>
      <c r="V214" s="59"/>
      <c r="W214" s="59"/>
      <c r="X214" s="60">
        <f t="shared" si="10"/>
        <v>1.461606</v>
      </c>
    </row>
    <row r="215" spans="1:24" x14ac:dyDescent="0.25">
      <c r="A215" s="61"/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3"/>
      <c r="U215" s="64"/>
      <c r="V215" s="62"/>
      <c r="W215" s="62"/>
      <c r="X215" s="62"/>
    </row>
    <row r="216" spans="1:24" x14ac:dyDescent="0.25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1"/>
      <c r="U216" s="4"/>
      <c r="V216" s="2"/>
      <c r="W216" s="2"/>
      <c r="X216" s="2"/>
    </row>
    <row r="217" spans="1:24" ht="15.75" x14ac:dyDescent="0.25">
      <c r="A217" s="1"/>
      <c r="B217" s="2"/>
      <c r="C217" s="2"/>
      <c r="D217" s="65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1"/>
      <c r="U217" s="4"/>
      <c r="V217" s="2"/>
      <c r="W217" s="2"/>
      <c r="X217" s="2"/>
    </row>
    <row r="218" spans="1:24" x14ac:dyDescent="0.25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1"/>
      <c r="U218" s="4"/>
      <c r="V218" s="2"/>
      <c r="W218" s="2"/>
      <c r="X218" s="2"/>
    </row>
    <row r="219" spans="1:24" ht="15.75" x14ac:dyDescent="0.25">
      <c r="A219" s="1"/>
      <c r="B219" s="2"/>
      <c r="C219" s="2"/>
      <c r="D219" s="65" t="s">
        <v>228</v>
      </c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1"/>
      <c r="U219" s="4"/>
      <c r="V219" s="2"/>
      <c r="W219" s="2"/>
      <c r="X219" s="2"/>
    </row>
    <row r="220" spans="1:24" x14ac:dyDescent="0.25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1"/>
      <c r="U220" s="4"/>
      <c r="V220" s="2"/>
      <c r="W220" s="2"/>
      <c r="X220" s="2"/>
    </row>
    <row r="221" spans="1:24" x14ac:dyDescent="0.25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1"/>
      <c r="U221" s="4"/>
      <c r="V221" s="2"/>
      <c r="W221" s="2"/>
      <c r="X221" s="2"/>
    </row>
    <row r="222" spans="1:24" x14ac:dyDescent="0.25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1"/>
      <c r="U222" s="4"/>
      <c r="V222" s="2"/>
      <c r="W222" s="2"/>
      <c r="X222" s="2"/>
    </row>
    <row r="223" spans="1:24" x14ac:dyDescent="0.25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1"/>
      <c r="U223" s="4"/>
      <c r="V223" s="2"/>
      <c r="W223" s="2"/>
      <c r="X223" s="2"/>
    </row>
    <row r="224" spans="1:24" x14ac:dyDescent="0.25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1"/>
      <c r="U224" s="4"/>
      <c r="V224" s="2"/>
      <c r="W224" s="2"/>
      <c r="X224" s="2"/>
    </row>
    <row r="225" spans="1:24" x14ac:dyDescent="0.25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1"/>
      <c r="U225" s="4"/>
      <c r="V225" s="2"/>
      <c r="W225" s="2"/>
      <c r="X225" s="2"/>
    </row>
    <row r="226" spans="1:24" x14ac:dyDescent="0.25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1"/>
      <c r="U226" s="4"/>
      <c r="V226" s="2"/>
      <c r="W226" s="2"/>
      <c r="X226" s="2"/>
    </row>
    <row r="227" spans="1:24" x14ac:dyDescent="0.25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1"/>
      <c r="U227" s="4"/>
      <c r="V227" s="2"/>
      <c r="W227" s="2"/>
      <c r="X227" s="2"/>
    </row>
    <row r="228" spans="1:24" x14ac:dyDescent="0.25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1"/>
      <c r="U228" s="4"/>
      <c r="V228" s="2"/>
      <c r="W228" s="2"/>
      <c r="X228" s="2"/>
    </row>
    <row r="229" spans="1:24" x14ac:dyDescent="0.25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1"/>
      <c r="U229" s="4"/>
      <c r="V229" s="2"/>
      <c r="W229" s="2"/>
      <c r="X229" s="2"/>
    </row>
    <row r="230" spans="1:24" x14ac:dyDescent="0.25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1"/>
      <c r="U230" s="4"/>
      <c r="V230" s="2"/>
      <c r="W230" s="2"/>
      <c r="X230" s="2"/>
    </row>
    <row r="231" spans="1:24" x14ac:dyDescent="0.25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1"/>
      <c r="U231" s="4"/>
      <c r="V231" s="2"/>
      <c r="W231" s="2"/>
      <c r="X231" s="2"/>
    </row>
  </sheetData>
  <mergeCells count="26">
    <mergeCell ref="U11:U16"/>
    <mergeCell ref="V11:V16"/>
    <mergeCell ref="W11:W16"/>
    <mergeCell ref="X11:X16"/>
    <mergeCell ref="M9:M16"/>
    <mergeCell ref="N9:N16"/>
    <mergeCell ref="O9:O16"/>
    <mergeCell ref="P9:S10"/>
    <mergeCell ref="T9:T16"/>
    <mergeCell ref="U9:X10"/>
    <mergeCell ref="P11:P16"/>
    <mergeCell ref="Q11:Q16"/>
    <mergeCell ref="R11:R16"/>
    <mergeCell ref="S11:S16"/>
    <mergeCell ref="L9:L16"/>
    <mergeCell ref="A9:A16"/>
    <mergeCell ref="B9:B16"/>
    <mergeCell ref="C9:C16"/>
    <mergeCell ref="D9:D16"/>
    <mergeCell ref="E9:E16"/>
    <mergeCell ref="F9:F16"/>
    <mergeCell ref="G9:G16"/>
    <mergeCell ref="H9:H16"/>
    <mergeCell ref="I9:I16"/>
    <mergeCell ref="J9:J16"/>
    <mergeCell ref="K9:K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2017-02-22T12:52:43Z</dcterms:modified>
</cp:coreProperties>
</file>