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376" windowHeight="1140" tabRatio="802" activeTab="2"/>
  </bookViews>
  <sheets>
    <sheet name="Корегування те бюдж" sheetId="2" r:id="rId1"/>
    <sheet name="корегування вир бюдж" sheetId="3" state="hidden" r:id="rId2"/>
    <sheet name="кориг послуга цгв" sheetId="4" r:id="rId3"/>
    <sheet name="розрахунок те" sheetId="5" state="hidden" r:id="rId4"/>
    <sheet name="розрахунок вироб" sheetId="6" state="hidden" r:id="rId5"/>
    <sheet name="розрахунок посл" sheetId="7" state="hidden" r:id="rId6"/>
  </sheets>
  <definedNames>
    <definedName name="_xlnm.Print_Area" localSheetId="1">'корегування вир бюдж'!$A$1:$F$52</definedName>
    <definedName name="_xlnm.Print_Area" localSheetId="0">'Корегування те бюдж'!$A$1:$H$54</definedName>
    <definedName name="_xlnm.Print_Area" localSheetId="4">'розрахунок вироб'!$A$1:$F$56</definedName>
    <definedName name="_xlnm.Print_Area" localSheetId="3">'розрахунок те'!$A$1:$F$55</definedName>
  </definedNames>
  <calcPr calcId="125725"/>
</workbook>
</file>

<file path=xl/calcChain.xml><?xml version="1.0" encoding="utf-8"?>
<calcChain xmlns="http://schemas.openxmlformats.org/spreadsheetml/2006/main">
  <c r="C10" i="4"/>
  <c r="F14"/>
  <c r="F13" s="1"/>
  <c r="H48" i="2"/>
  <c r="H47"/>
  <c r="H44"/>
  <c r="H43"/>
  <c r="H42"/>
  <c r="H41"/>
  <c r="H40"/>
  <c r="H39" s="1"/>
  <c r="G39"/>
  <c r="H34"/>
  <c r="H32"/>
  <c r="H31"/>
  <c r="H30"/>
  <c r="G29"/>
  <c r="H29" s="1"/>
  <c r="G28"/>
  <c r="H28" s="1"/>
  <c r="H26"/>
  <c r="G25"/>
  <c r="H25" s="1"/>
  <c r="G24"/>
  <c r="H24" s="1"/>
  <c r="H22"/>
  <c r="H21"/>
  <c r="G20"/>
  <c r="H20" s="1"/>
  <c r="G18"/>
  <c r="H18" s="1"/>
  <c r="H17"/>
  <c r="H16"/>
  <c r="H13"/>
  <c r="H12"/>
  <c r="G11"/>
  <c r="H11" s="1"/>
  <c r="G27" l="1"/>
  <c r="H27" s="1"/>
  <c r="G19"/>
  <c r="H19" s="1"/>
  <c r="G23"/>
  <c r="H23" s="1"/>
  <c r="G10" l="1"/>
  <c r="H10" l="1"/>
  <c r="G37"/>
  <c r="H37" s="1"/>
  <c r="G33"/>
  <c r="H33" s="1"/>
  <c r="G45" l="1"/>
  <c r="G50"/>
  <c r="H45"/>
  <c r="H46" s="1"/>
  <c r="D14" i="7" l="1"/>
  <c r="D13" s="1"/>
  <c r="C14"/>
  <c r="C13" s="1"/>
  <c r="C15"/>
  <c r="B9"/>
  <c r="F38" i="6"/>
  <c r="C51"/>
  <c r="F44"/>
  <c r="D44"/>
  <c r="F43"/>
  <c r="D43"/>
  <c r="F42"/>
  <c r="D42"/>
  <c r="F41"/>
  <c r="D41"/>
  <c r="F40"/>
  <c r="F39" s="1"/>
  <c r="D40"/>
  <c r="E39"/>
  <c r="D39"/>
  <c r="C39"/>
  <c r="D38"/>
  <c r="F36"/>
  <c r="D36"/>
  <c r="F35"/>
  <c r="D35"/>
  <c r="F34"/>
  <c r="D34"/>
  <c r="F33"/>
  <c r="D33"/>
  <c r="F32"/>
  <c r="D32"/>
  <c r="F31"/>
  <c r="D31"/>
  <c r="F30"/>
  <c r="D30"/>
  <c r="E29"/>
  <c r="F29" s="1"/>
  <c r="C29"/>
  <c r="D29" s="1"/>
  <c r="E28"/>
  <c r="F28" s="1"/>
  <c r="C28"/>
  <c r="D28" s="1"/>
  <c r="E27"/>
  <c r="F27" s="1"/>
  <c r="C27"/>
  <c r="D27" s="1"/>
  <c r="F26"/>
  <c r="D26"/>
  <c r="E25"/>
  <c r="F25" s="1"/>
  <c r="C25"/>
  <c r="D25" s="1"/>
  <c r="E24"/>
  <c r="F24" s="1"/>
  <c r="C24"/>
  <c r="D24" s="1"/>
  <c r="E23"/>
  <c r="F23" s="1"/>
  <c r="C23"/>
  <c r="D23" s="1"/>
  <c r="F22"/>
  <c r="D22"/>
  <c r="F21"/>
  <c r="D21"/>
  <c r="E20"/>
  <c r="F20" s="1"/>
  <c r="C20"/>
  <c r="D20" s="1"/>
  <c r="E19"/>
  <c r="F19" s="1"/>
  <c r="C19"/>
  <c r="D19" s="1"/>
  <c r="E18"/>
  <c r="F18" s="1"/>
  <c r="C18"/>
  <c r="D18" s="1"/>
  <c r="F17"/>
  <c r="D17"/>
  <c r="F16"/>
  <c r="D16"/>
  <c r="F13"/>
  <c r="D13"/>
  <c r="D12"/>
  <c r="C11"/>
  <c r="D11" s="1"/>
  <c r="C10"/>
  <c r="C37" s="1"/>
  <c r="E39" i="3"/>
  <c r="E29"/>
  <c r="E28"/>
  <c r="E27" s="1"/>
  <c r="E25"/>
  <c r="E24"/>
  <c r="E23" s="1"/>
  <c r="E20"/>
  <c r="E19"/>
  <c r="E18"/>
  <c r="C29"/>
  <c r="C28"/>
  <c r="C25"/>
  <c r="C24"/>
  <c r="C20"/>
  <c r="C18"/>
  <c r="C51" i="5"/>
  <c r="F44"/>
  <c r="D44"/>
  <c r="F43"/>
  <c r="D43"/>
  <c r="F42"/>
  <c r="D42"/>
  <c r="F41"/>
  <c r="D41"/>
  <c r="F40"/>
  <c r="D40"/>
  <c r="D39" s="1"/>
  <c r="F39"/>
  <c r="E39"/>
  <c r="C39"/>
  <c r="F38"/>
  <c r="D38"/>
  <c r="F36"/>
  <c r="D36"/>
  <c r="F35"/>
  <c r="D35"/>
  <c r="F34"/>
  <c r="D34"/>
  <c r="F33"/>
  <c r="D33"/>
  <c r="F32"/>
  <c r="D32"/>
  <c r="F31"/>
  <c r="D31"/>
  <c r="F30"/>
  <c r="D30"/>
  <c r="E29"/>
  <c r="F29" s="1"/>
  <c r="C29"/>
  <c r="D29" s="1"/>
  <c r="E28"/>
  <c r="F28" s="1"/>
  <c r="C28"/>
  <c r="D28" s="1"/>
  <c r="E27"/>
  <c r="F27" s="1"/>
  <c r="C27"/>
  <c r="D27" s="1"/>
  <c r="F26"/>
  <c r="D26"/>
  <c r="E25"/>
  <c r="F25" s="1"/>
  <c r="C25"/>
  <c r="D25" s="1"/>
  <c r="E24"/>
  <c r="F24" s="1"/>
  <c r="C24"/>
  <c r="D24" s="1"/>
  <c r="E23"/>
  <c r="F23" s="1"/>
  <c r="C23"/>
  <c r="D23" s="1"/>
  <c r="F22"/>
  <c r="D22"/>
  <c r="F21"/>
  <c r="D21"/>
  <c r="E20"/>
  <c r="F20" s="1"/>
  <c r="C20"/>
  <c r="D20" s="1"/>
  <c r="E19"/>
  <c r="F19" s="1"/>
  <c r="C19"/>
  <c r="D19" s="1"/>
  <c r="E18"/>
  <c r="F18" s="1"/>
  <c r="C18"/>
  <c r="D18" s="1"/>
  <c r="F17"/>
  <c r="D17"/>
  <c r="E16"/>
  <c r="F16" s="1"/>
  <c r="D16"/>
  <c r="F13"/>
  <c r="D13"/>
  <c r="F12"/>
  <c r="E12"/>
  <c r="D12"/>
  <c r="E11"/>
  <c r="F11" s="1"/>
  <c r="C11"/>
  <c r="D11" s="1"/>
  <c r="E12" i="2"/>
  <c r="E12" i="6" s="1"/>
  <c r="E51" l="1"/>
  <c r="E11"/>
  <c r="F11" s="1"/>
  <c r="C10" i="5"/>
  <c r="D10" s="1"/>
  <c r="E10"/>
  <c r="F10" s="1"/>
  <c r="E12" i="3"/>
  <c r="E10" i="6"/>
  <c r="E37" s="1"/>
  <c r="F37" s="1"/>
  <c r="F45" s="1"/>
  <c r="F46" s="1"/>
  <c r="F12"/>
  <c r="C16" i="7"/>
  <c r="C17" s="1"/>
  <c r="C9"/>
  <c r="E45" i="6"/>
  <c r="C48"/>
  <c r="E48"/>
  <c r="D37"/>
  <c r="D45" s="1"/>
  <c r="D46" s="1"/>
  <c r="C45"/>
  <c r="D48"/>
  <c r="D10"/>
  <c r="C37" i="5"/>
  <c r="E37"/>
  <c r="F10" i="6" l="1"/>
  <c r="F48"/>
  <c r="F59"/>
  <c r="F60" s="1"/>
  <c r="F58"/>
  <c r="F37" i="5"/>
  <c r="E45"/>
  <c r="D37"/>
  <c r="C45"/>
  <c r="E48"/>
  <c r="C48"/>
  <c r="D45" l="1"/>
  <c r="D46" s="1"/>
  <c r="G58" s="1"/>
  <c r="D48"/>
  <c r="F45"/>
  <c r="F46" s="1"/>
  <c r="F48"/>
  <c r="F57" l="1"/>
  <c r="F58"/>
  <c r="F59" s="1"/>
  <c r="E16" i="2" l="1"/>
  <c r="C51" i="3"/>
  <c r="F44"/>
  <c r="D44"/>
  <c r="F43"/>
  <c r="D43"/>
  <c r="F42"/>
  <c r="D42"/>
  <c r="F41"/>
  <c r="D41"/>
  <c r="F40"/>
  <c r="D40"/>
  <c r="F39"/>
  <c r="D39"/>
  <c r="C39"/>
  <c r="F38"/>
  <c r="D38"/>
  <c r="F36"/>
  <c r="D36"/>
  <c r="F35"/>
  <c r="D35"/>
  <c r="F34"/>
  <c r="D34"/>
  <c r="F33"/>
  <c r="D33"/>
  <c r="F32"/>
  <c r="D32"/>
  <c r="F31"/>
  <c r="D31"/>
  <c r="F30"/>
  <c r="D30"/>
  <c r="F29"/>
  <c r="D29"/>
  <c r="F28"/>
  <c r="D28"/>
  <c r="F27"/>
  <c r="C27"/>
  <c r="D27" s="1"/>
  <c r="F26"/>
  <c r="D26"/>
  <c r="F25"/>
  <c r="D25"/>
  <c r="F24"/>
  <c r="D24"/>
  <c r="F23"/>
  <c r="C23"/>
  <c r="D23" s="1"/>
  <c r="F22"/>
  <c r="D22"/>
  <c r="F21"/>
  <c r="D21"/>
  <c r="F20"/>
  <c r="D20"/>
  <c r="F19"/>
  <c r="C19"/>
  <c r="D19" s="1"/>
  <c r="F18"/>
  <c r="D18"/>
  <c r="F17"/>
  <c r="D17"/>
  <c r="F16"/>
  <c r="D16"/>
  <c r="F13"/>
  <c r="D13"/>
  <c r="F12"/>
  <c r="E51"/>
  <c r="D12"/>
  <c r="E11"/>
  <c r="F11" s="1"/>
  <c r="C11"/>
  <c r="D11" s="1"/>
  <c r="E15" i="4"/>
  <c r="E16" s="1"/>
  <c r="D15"/>
  <c r="E14"/>
  <c r="E13" s="1"/>
  <c r="D14"/>
  <c r="C14"/>
  <c r="C13" s="1"/>
  <c r="D13"/>
  <c r="B9"/>
  <c r="D16" l="1"/>
  <c r="D17" s="1"/>
  <c r="E17"/>
  <c r="E10" i="3"/>
  <c r="E37" s="1"/>
  <c r="E45" s="1"/>
  <c r="C10"/>
  <c r="C37" s="1"/>
  <c r="C45" s="1"/>
  <c r="D10"/>
  <c r="F10" l="1"/>
  <c r="F37"/>
  <c r="E48"/>
  <c r="D37"/>
  <c r="D45" s="1"/>
  <c r="D46" s="1"/>
  <c r="C48"/>
  <c r="D48" l="1"/>
  <c r="F45"/>
  <c r="F46" s="1"/>
  <c r="F48"/>
  <c r="F57" l="1"/>
  <c r="F56"/>
  <c r="C53" i="2"/>
  <c r="F44"/>
  <c r="D44"/>
  <c r="F43"/>
  <c r="D43"/>
  <c r="F42"/>
  <c r="D42"/>
  <c r="F41"/>
  <c r="D41"/>
  <c r="F40"/>
  <c r="F39" s="1"/>
  <c r="D40"/>
  <c r="D39" s="1"/>
  <c r="E39"/>
  <c r="C39"/>
  <c r="F38"/>
  <c r="D38"/>
  <c r="F36"/>
  <c r="D36"/>
  <c r="F35"/>
  <c r="D35"/>
  <c r="F34"/>
  <c r="D34"/>
  <c r="F33"/>
  <c r="D33"/>
  <c r="F32"/>
  <c r="D32"/>
  <c r="F31"/>
  <c r="D31"/>
  <c r="F30"/>
  <c r="D30"/>
  <c r="E29"/>
  <c r="F29" s="1"/>
  <c r="C29"/>
  <c r="D29" s="1"/>
  <c r="E28"/>
  <c r="F28" s="1"/>
  <c r="C28"/>
  <c r="D28" s="1"/>
  <c r="E27"/>
  <c r="F27" s="1"/>
  <c r="F26"/>
  <c r="D26"/>
  <c r="E25"/>
  <c r="F25" s="1"/>
  <c r="C25"/>
  <c r="D25" s="1"/>
  <c r="E24"/>
  <c r="F24" s="1"/>
  <c r="C24"/>
  <c r="D24" s="1"/>
  <c r="E23"/>
  <c r="F23" s="1"/>
  <c r="F22"/>
  <c r="D22"/>
  <c r="F21"/>
  <c r="D21"/>
  <c r="E20"/>
  <c r="F20" s="1"/>
  <c r="C20"/>
  <c r="D20" s="1"/>
  <c r="E19"/>
  <c r="F19" s="1"/>
  <c r="E18"/>
  <c r="F18" s="1"/>
  <c r="C18"/>
  <c r="D18" s="1"/>
  <c r="F17"/>
  <c r="D17"/>
  <c r="F16"/>
  <c r="D16"/>
  <c r="F13"/>
  <c r="D13"/>
  <c r="D12"/>
  <c r="E11"/>
  <c r="F11" s="1"/>
  <c r="C11"/>
  <c r="D11" s="1"/>
  <c r="C19" l="1"/>
  <c r="D19" s="1"/>
  <c r="C23"/>
  <c r="D23" s="1"/>
  <c r="C27"/>
  <c r="D27" s="1"/>
  <c r="F58" i="3"/>
  <c r="E10" i="2"/>
  <c r="E37" s="1"/>
  <c r="E45" s="1"/>
  <c r="F12"/>
  <c r="C10" l="1"/>
  <c r="C37" s="1"/>
  <c r="D37" s="1"/>
  <c r="D45" s="1"/>
  <c r="D46" s="1"/>
  <c r="F10"/>
  <c r="F37"/>
  <c r="F45" s="1"/>
  <c r="F46" s="1"/>
  <c r="E50"/>
  <c r="D10" l="1"/>
  <c r="C50"/>
  <c r="D50"/>
  <c r="C45"/>
  <c r="F48"/>
  <c r="F47"/>
  <c r="D10" i="7"/>
  <c r="D15" s="1"/>
  <c r="G57" i="3"/>
  <c r="C15" i="4" l="1"/>
  <c r="C9" s="1"/>
  <c r="D9" s="1"/>
  <c r="E9" s="1"/>
  <c r="F10"/>
  <c r="F15" s="1"/>
  <c r="D16" i="7"/>
  <c r="D17" s="1"/>
  <c r="D9"/>
  <c r="F9" i="4" l="1"/>
  <c r="F16"/>
  <c r="F17" s="1"/>
  <c r="C16"/>
  <c r="C17" s="1"/>
</calcChain>
</file>

<file path=xl/sharedStrings.xml><?xml version="1.0" encoding="utf-8"?>
<sst xmlns="http://schemas.openxmlformats.org/spreadsheetml/2006/main" count="413" uniqueCount="119">
  <si>
    <t xml:space="preserve">N з/п </t>
  </si>
  <si>
    <t>Постанова №, дата:</t>
  </si>
  <si>
    <t>постанова діє з:</t>
  </si>
  <si>
    <t xml:space="preserve">Найменування показників </t>
  </si>
  <si>
    <t>тис.грн на рік</t>
  </si>
  <si>
    <t>грн/ Гкал</t>
  </si>
  <si>
    <t xml:space="preserve">Виробнича собівартість, у т. ч.: </t>
  </si>
  <si>
    <t>1.1</t>
  </si>
  <si>
    <t xml:space="preserve">прямі матеріальні витрати, у т. ч.: </t>
  </si>
  <si>
    <t>1.1.1</t>
  </si>
  <si>
    <t xml:space="preserve">паливо </t>
  </si>
  <si>
    <t>1.1.2</t>
  </si>
  <si>
    <t xml:space="preserve">електроенергія </t>
  </si>
  <si>
    <t>1.1.3</t>
  </si>
  <si>
    <t xml:space="preserve">покупна теплова енергія та собівартість теплової енергії власних ТЕЦ, ТЕС, АЕС, когенераційних установок </t>
  </si>
  <si>
    <t>1.1.4</t>
  </si>
  <si>
    <t xml:space="preserve">транспортування теплової енергії тепловими мережами інших підприємств </t>
  </si>
  <si>
    <t>1.1.5</t>
  </si>
  <si>
    <t xml:space="preserve">вода для технологічних потреб та водовідведення </t>
  </si>
  <si>
    <t>1.1.6</t>
  </si>
  <si>
    <t xml:space="preserve">матеріали, запасні частини та інші матеріальні ресурси </t>
  </si>
  <si>
    <t>1.2</t>
  </si>
  <si>
    <t xml:space="preserve">прямі витрати на оплату праці </t>
  </si>
  <si>
    <t>1.3</t>
  </si>
  <si>
    <t xml:space="preserve">інші прямі витрати, у т. ч.: </t>
  </si>
  <si>
    <t>1.3.1</t>
  </si>
  <si>
    <t xml:space="preserve">відрахування на соціальні заходи </t>
  </si>
  <si>
    <t>1.3.2</t>
  </si>
  <si>
    <t xml:space="preserve">амортизаційні відрахування </t>
  </si>
  <si>
    <t>1.3.3</t>
  </si>
  <si>
    <t xml:space="preserve">інші прямі витрати </t>
  </si>
  <si>
    <t>1.4</t>
  </si>
  <si>
    <t xml:space="preserve">загальновиробничі витрати, у т. ч.: </t>
  </si>
  <si>
    <t>1.4.1</t>
  </si>
  <si>
    <t xml:space="preserve">витрати на оплату праці </t>
  </si>
  <si>
    <t>1.4.2</t>
  </si>
  <si>
    <t>1.4.3</t>
  </si>
  <si>
    <t xml:space="preserve">інші витрати </t>
  </si>
  <si>
    <t>2</t>
  </si>
  <si>
    <t xml:space="preserve">Адміністративні витрати, у т. ч.: </t>
  </si>
  <si>
    <t>2.1</t>
  </si>
  <si>
    <t>2.2</t>
  </si>
  <si>
    <t>2.3</t>
  </si>
  <si>
    <t xml:space="preserve">Витрати на збут, у т. ч.: </t>
  </si>
  <si>
    <t>Інші операційні витрати</t>
  </si>
  <si>
    <t xml:space="preserve">Фінансові витрати </t>
  </si>
  <si>
    <t>Повна собівартість</t>
  </si>
  <si>
    <t>Витрати на покриття втрат</t>
  </si>
  <si>
    <t xml:space="preserve">Розрахунковий прибуток, у т. ч.: </t>
  </si>
  <si>
    <t>7.1</t>
  </si>
  <si>
    <t xml:space="preserve">податок на прибуток </t>
  </si>
  <si>
    <t>7.2</t>
  </si>
  <si>
    <t xml:space="preserve">дивіденди </t>
  </si>
  <si>
    <t>7.3</t>
  </si>
  <si>
    <t xml:space="preserve">резервний фонд (капітал) </t>
  </si>
  <si>
    <t>7.4</t>
  </si>
  <si>
    <t xml:space="preserve">на розвиток виробництва (виробничі інвестиції) </t>
  </si>
  <si>
    <t>7.5</t>
  </si>
  <si>
    <t xml:space="preserve">інше використання прибутку </t>
  </si>
  <si>
    <t xml:space="preserve">Вартість  теплової енергії за відповідними тарифами </t>
  </si>
  <si>
    <t>Тарифи на теплову енергію, грн/Гкал</t>
  </si>
  <si>
    <t>Корисний  відпуск тепла гкал</t>
  </si>
  <si>
    <t>Рівень рентабельності, %</t>
  </si>
  <si>
    <t>Корегування вартості</t>
  </si>
  <si>
    <t>природного газу</t>
  </si>
  <si>
    <t>без ПДВ</t>
  </si>
  <si>
    <t>Вартість 1 тис. м³ прир. Газу в тарифі</t>
  </si>
  <si>
    <t>Витрати природнього газу, тис. м³</t>
  </si>
  <si>
    <t>О.А. Лаврова</t>
  </si>
  <si>
    <t xml:space="preserve">Заступник директора з економіки КП "ЧТЕ" </t>
  </si>
  <si>
    <t>№ з/п</t>
  </si>
  <si>
    <t>Найменування показників</t>
  </si>
  <si>
    <t>для потреб інших споживачів</t>
  </si>
  <si>
    <t>для потреб релігійних організацій</t>
  </si>
  <si>
    <t>грн/куб. м</t>
  </si>
  <si>
    <t>1.</t>
  </si>
  <si>
    <t>Собівартість власної теплової енергії, врахована у встановлених тарифах на теплову енергію</t>
  </si>
  <si>
    <t>2.</t>
  </si>
  <si>
    <t>Витрати на придбання води для послуги з гарячого водопостачання</t>
  </si>
  <si>
    <t>3.</t>
  </si>
  <si>
    <t>Розрахунковий прибуток, 
усього, у т.ч.:</t>
  </si>
  <si>
    <t>3.1.</t>
  </si>
  <si>
    <t>чистий прибуток</t>
  </si>
  <si>
    <t>3.2.</t>
  </si>
  <si>
    <t>податок на прибуток</t>
  </si>
  <si>
    <t>4.</t>
  </si>
  <si>
    <t>Плановані тарифи на послугу</t>
  </si>
  <si>
    <t>5.</t>
  </si>
  <si>
    <t>6.</t>
  </si>
  <si>
    <t>Податок на додану вартість</t>
  </si>
  <si>
    <t>Тарифи на послугу з ПДВ</t>
  </si>
  <si>
    <t>Керуючий справами</t>
  </si>
  <si>
    <t xml:space="preserve">І.В.Лубковський </t>
  </si>
  <si>
    <t>№ зп</t>
  </si>
  <si>
    <t>01.02.2017 №151</t>
  </si>
  <si>
    <r>
      <t xml:space="preserve">Структура тарифа на </t>
    </r>
    <r>
      <rPr>
        <b/>
        <sz val="11"/>
        <color theme="1"/>
        <rFont val="Times New Roman"/>
        <family val="1"/>
        <charset val="204"/>
      </rPr>
      <t>виробництво теплової енергії</t>
    </r>
    <r>
      <rPr>
        <sz val="11"/>
        <color theme="1"/>
        <rFont val="Times New Roman"/>
        <family val="1"/>
        <charset val="204"/>
      </rPr>
      <t xml:space="preserve"> для потреб бюджетних установ Комунального підприємства "Чорноморськтеплоенерго" Чорноморської міської ради Одеської області</t>
    </r>
  </si>
  <si>
    <t>до рішення виконавчого комітету Чорноморської міської ради</t>
  </si>
  <si>
    <t>від __________ № _____</t>
  </si>
  <si>
    <t>Додаток  2</t>
  </si>
  <si>
    <r>
      <t xml:space="preserve">Розрахунок коригування тарифа </t>
    </r>
    <r>
      <rPr>
        <b/>
        <sz val="11"/>
        <color theme="1"/>
        <rFont val="Times New Roman"/>
        <family val="1"/>
        <charset val="204"/>
      </rPr>
      <t>на теплову енергію</t>
    </r>
    <r>
      <rPr>
        <sz val="11"/>
        <color theme="1"/>
        <rFont val="Times New Roman"/>
        <family val="1"/>
        <charset val="204"/>
      </rPr>
      <t xml:space="preserve"> для потреб бюджетних установ Комунального підприємства "Чорноморськтеплоенерго" Чорноморської міської ради Одеської області</t>
    </r>
  </si>
  <si>
    <r>
      <t xml:space="preserve">Розрахунок коригування тарифа на </t>
    </r>
    <r>
      <rPr>
        <b/>
        <sz val="11"/>
        <color theme="1"/>
        <rFont val="Times New Roman"/>
        <family val="1"/>
        <charset val="204"/>
      </rPr>
      <t>виробництво теплової енергії</t>
    </r>
    <r>
      <rPr>
        <sz val="11"/>
        <color theme="1"/>
        <rFont val="Times New Roman"/>
        <family val="1"/>
        <charset val="204"/>
      </rPr>
      <t xml:space="preserve"> для потреб бюджетних установ Комунального підприємства "Чорноморськтеплоенерго" Чорноморської міської ради Одеської області</t>
    </r>
  </si>
  <si>
    <t>Розрахунок коригування тарифу на послугу з централізованого постачання гарячої води для потреб бюджетних установ  Комунального підприємства «Чорноморськтеплоенерго» Чорноморської міської ради Одеської області</t>
  </si>
  <si>
    <t>Постанова НКРЕКП від 30.04.2015 №1543 у редакції Постанови НКРЕКП від 01.02.2017 №152</t>
  </si>
  <si>
    <t xml:space="preserve">Розрахунковий тариф  </t>
  </si>
  <si>
    <t>тариф</t>
  </si>
  <si>
    <t>Розрахунковий</t>
  </si>
  <si>
    <t>Директор КП "ЧТЕ"</t>
  </si>
  <si>
    <t>А.В. Паншин</t>
  </si>
  <si>
    <t>Додаток  1</t>
  </si>
  <si>
    <t>10.1</t>
  </si>
  <si>
    <t xml:space="preserve">Тарифи на теплову енергію, грн/Гкал з ПДВ, у т. ч.: </t>
  </si>
  <si>
    <t>до рішення виконавчого комітету Чорноморської міської ради Одеської області</t>
  </si>
  <si>
    <t>по прир газу</t>
  </si>
  <si>
    <t>від ____________________ № ___________</t>
  </si>
  <si>
    <t>Структура тарифа на теплову енергію для потреб бюджетних установ та інших споживачів (крім населення)  комунального підприємства "Чорноморськтеплоенерго" Чорноморської міської ради Одеської області</t>
  </si>
  <si>
    <t>Для потреб інших споживачів (крім населення)</t>
  </si>
  <si>
    <t>Для потреб бюджетних установ</t>
  </si>
  <si>
    <t>від _______________ № _______</t>
  </si>
  <si>
    <t>Структура тарифа на послуги з централізованого постачання гарячої води
для потреб бюджетних установ та інших споживачів (крім населення)   комунального підприємства «Чорноморськтеплоенерго» Чорноморської міської ради Одеської області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</si>
</sst>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#,##0.00_ ;\-#,##0.00\ "/>
  </numFmts>
  <fonts count="22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2" fillId="0" borderId="0"/>
    <xf numFmtId="0" fontId="2" fillId="0" borderId="0"/>
  </cellStyleXfs>
  <cellXfs count="129">
    <xf numFmtId="0" fontId="0" fillId="0" borderId="0" xfId="0"/>
    <xf numFmtId="0" fontId="5" fillId="0" borderId="6" xfId="2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Font="1"/>
    <xf numFmtId="0" fontId="4" fillId="0" borderId="0" xfId="0" applyNumberFormat="1" applyFont="1"/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/>
    <xf numFmtId="2" fontId="9" fillId="0" borderId="6" xfId="1" applyNumberFormat="1" applyFont="1" applyFill="1" applyBorder="1"/>
    <xf numFmtId="2" fontId="9" fillId="0" borderId="3" xfId="0" applyNumberFormat="1" applyFont="1" applyFill="1" applyBorder="1"/>
    <xf numFmtId="43" fontId="9" fillId="0" borderId="3" xfId="1" applyFont="1" applyFill="1" applyBorder="1" applyAlignment="1">
      <alignment wrapText="1"/>
    </xf>
    <xf numFmtId="0" fontId="8" fillId="0" borderId="7" xfId="0" applyFont="1" applyFill="1" applyBorder="1" applyAlignment="1">
      <alignment wrapText="1"/>
    </xf>
    <xf numFmtId="0" fontId="3" fillId="0" borderId="0" xfId="0" applyFont="1"/>
    <xf numFmtId="0" fontId="3" fillId="0" borderId="0" xfId="0" applyFont="1" applyFill="1"/>
    <xf numFmtId="0" fontId="3" fillId="0" borderId="0" xfId="0" applyFont="1" applyAlignment="1">
      <alignment horizontal="right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49" fontId="7" fillId="0" borderId="6" xfId="2" applyNumberFormat="1" applyFont="1" applyFill="1" applyBorder="1" applyAlignment="1">
      <alignment horizontal="center" vertical="center" wrapText="1"/>
    </xf>
    <xf numFmtId="0" fontId="3" fillId="0" borderId="7" xfId="0" applyFont="1" applyFill="1" applyBorder="1"/>
    <xf numFmtId="2" fontId="3" fillId="0" borderId="6" xfId="1" applyNumberFormat="1" applyFont="1" applyFill="1" applyBorder="1"/>
    <xf numFmtId="2" fontId="3" fillId="0" borderId="3" xfId="0" applyNumberFormat="1" applyFont="1" applyFill="1" applyBorder="1"/>
    <xf numFmtId="0" fontId="3" fillId="0" borderId="7" xfId="0" applyFont="1" applyFill="1" applyBorder="1" applyAlignment="1">
      <alignment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3" fillId="0" borderId="9" xfId="0" applyFont="1" applyFill="1" applyBorder="1"/>
    <xf numFmtId="43" fontId="3" fillId="0" borderId="8" xfId="1" applyFont="1" applyFill="1" applyBorder="1"/>
    <xf numFmtId="0" fontId="7" fillId="0" borderId="0" xfId="2" applyFont="1" applyFill="1" applyBorder="1" applyAlignment="1">
      <alignment horizontal="center" vertical="center"/>
    </xf>
    <xf numFmtId="0" fontId="3" fillId="0" borderId="0" xfId="0" applyFont="1" applyFill="1" applyBorder="1"/>
    <xf numFmtId="43" fontId="3" fillId="0" borderId="0" xfId="1" applyFont="1" applyFill="1" applyBorder="1"/>
    <xf numFmtId="2" fontId="3" fillId="0" borderId="0" xfId="0" applyNumberFormat="1" applyFont="1" applyFill="1" applyBorder="1"/>
    <xf numFmtId="0" fontId="3" fillId="0" borderId="0" xfId="0" applyFont="1" applyFill="1" applyAlignment="1">
      <alignment horizontal="right"/>
    </xf>
    <xf numFmtId="0" fontId="7" fillId="0" borderId="0" xfId="2" applyFont="1" applyFill="1" applyAlignment="1">
      <alignment horizontal="center" vertical="center"/>
    </xf>
    <xf numFmtId="2" fontId="3" fillId="0" borderId="0" xfId="0" applyNumberFormat="1" applyFont="1"/>
    <xf numFmtId="0" fontId="7" fillId="0" borderId="3" xfId="2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left" wrapText="1"/>
    </xf>
    <xf numFmtId="164" fontId="3" fillId="0" borderId="3" xfId="1" applyNumberFormat="1" applyFont="1" applyFill="1" applyBorder="1" applyAlignment="1">
      <alignment horizontal="right"/>
    </xf>
    <xf numFmtId="43" fontId="3" fillId="0" borderId="3" xfId="1" applyFont="1" applyFill="1" applyBorder="1" applyAlignment="1">
      <alignment horizontal="right"/>
    </xf>
    <xf numFmtId="0" fontId="11" fillId="0" borderId="3" xfId="2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left" wrapText="1"/>
    </xf>
    <xf numFmtId="43" fontId="4" fillId="0" borderId="3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13" fillId="0" borderId="0" xfId="3" applyFont="1" applyFill="1" applyBorder="1" applyAlignment="1" applyProtection="1">
      <alignment horizontal="left"/>
    </xf>
    <xf numFmtId="165" fontId="9" fillId="0" borderId="3" xfId="1" applyNumberFormat="1" applyFont="1" applyFill="1" applyBorder="1" applyAlignment="1">
      <alignment wrapText="1"/>
    </xf>
    <xf numFmtId="0" fontId="3" fillId="0" borderId="3" xfId="0" applyFont="1" applyFill="1" applyBorder="1" applyAlignment="1">
      <alignment vertical="center" wrapText="1"/>
    </xf>
    <xf numFmtId="0" fontId="10" fillId="0" borderId="10" xfId="2" applyFont="1" applyFill="1" applyBorder="1" applyAlignment="1">
      <alignment vertical="center" wrapText="1"/>
    </xf>
    <xf numFmtId="0" fontId="10" fillId="0" borderId="12" xfId="2" applyFon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wrapText="1"/>
    </xf>
    <xf numFmtId="43" fontId="9" fillId="0" borderId="3" xfId="1" applyFont="1" applyFill="1" applyBorder="1" applyAlignment="1">
      <alignment horizontal="right" wrapText="1"/>
    </xf>
    <xf numFmtId="0" fontId="16" fillId="0" borderId="0" xfId="0" applyFont="1"/>
    <xf numFmtId="0" fontId="14" fillId="0" borderId="0" xfId="3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 vertical="center" wrapText="1"/>
    </xf>
    <xf numFmtId="0" fontId="13" fillId="0" borderId="3" xfId="0" applyFont="1" applyFill="1" applyBorder="1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right" vertical="top"/>
    </xf>
    <xf numFmtId="0" fontId="13" fillId="2" borderId="3" xfId="0" applyFont="1" applyFill="1" applyBorder="1" applyAlignment="1" applyProtection="1">
      <alignment vertical="top" wrapText="1"/>
    </xf>
    <xf numFmtId="4" fontId="13" fillId="2" borderId="3" xfId="0" applyNumberFormat="1" applyFont="1" applyFill="1" applyBorder="1" applyAlignment="1" applyProtection="1">
      <alignment horizontal="center" vertical="center"/>
    </xf>
    <xf numFmtId="0" fontId="17" fillId="2" borderId="3" xfId="4" applyFont="1" applyFill="1" applyBorder="1" applyAlignment="1">
      <alignment horizontal="left" vertical="center" wrapText="1"/>
    </xf>
    <xf numFmtId="4" fontId="13" fillId="2" borderId="3" xfId="3" applyNumberFormat="1" applyFont="1" applyFill="1" applyBorder="1" applyAlignment="1" applyProtection="1">
      <alignment horizontal="center"/>
    </xf>
    <xf numFmtId="0" fontId="13" fillId="2" borderId="0" xfId="3" applyFont="1" applyFill="1" applyAlignment="1" applyProtection="1">
      <alignment horizontal="center"/>
    </xf>
    <xf numFmtId="0" fontId="16" fillId="0" borderId="0" xfId="0" applyFont="1" applyAlignment="1">
      <alignment horizontal="center"/>
    </xf>
    <xf numFmtId="4" fontId="13" fillId="2" borderId="3" xfId="3" applyNumberFormat="1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right" vertical="top"/>
    </xf>
    <xf numFmtId="0" fontId="17" fillId="2" borderId="0" xfId="4" applyFont="1" applyFill="1" applyBorder="1" applyAlignment="1">
      <alignment horizontal="left" vertical="center" wrapText="1"/>
    </xf>
    <xf numFmtId="4" fontId="13" fillId="2" borderId="11" xfId="3" applyNumberFormat="1" applyFont="1" applyFill="1" applyBorder="1" applyAlignment="1" applyProtection="1">
      <alignment horizontal="center" vertical="center"/>
    </xf>
    <xf numFmtId="4" fontId="13" fillId="2" borderId="11" xfId="3" applyNumberFormat="1" applyFont="1" applyFill="1" applyBorder="1" applyAlignment="1" applyProtection="1">
      <alignment horizontal="center"/>
    </xf>
    <xf numFmtId="0" fontId="17" fillId="2" borderId="0" xfId="4" applyFont="1" applyFill="1" applyBorder="1" applyAlignment="1">
      <alignment horizontal="left" wrapText="1"/>
    </xf>
    <xf numFmtId="0" fontId="15" fillId="3" borderId="0" xfId="0" applyFont="1" applyFill="1" applyAlignment="1">
      <alignment horizontal="left" vertical="top"/>
    </xf>
    <xf numFmtId="0" fontId="4" fillId="0" borderId="13" xfId="0" applyNumberFormat="1" applyFont="1" applyBorder="1"/>
    <xf numFmtId="43" fontId="4" fillId="0" borderId="10" xfId="0" applyNumberFormat="1" applyFont="1" applyFill="1" applyBorder="1" applyAlignment="1">
      <alignment horizontal="right"/>
    </xf>
    <xf numFmtId="0" fontId="14" fillId="2" borderId="0" xfId="3" applyFont="1" applyFill="1" applyBorder="1" applyAlignment="1" applyProtection="1">
      <alignment horizontal="center" vertical="center"/>
    </xf>
    <xf numFmtId="0" fontId="18" fillId="3" borderId="0" xfId="0" applyFont="1" applyFill="1" applyAlignment="1">
      <alignment horizontal="center"/>
    </xf>
    <xf numFmtId="0" fontId="17" fillId="3" borderId="0" xfId="0" applyFont="1" applyFill="1" applyAlignment="1">
      <alignment horizontal="left" wrapText="1"/>
    </xf>
    <xf numFmtId="0" fontId="19" fillId="3" borderId="0" xfId="0" applyFont="1" applyFill="1" applyAlignment="1">
      <alignment horizontal="center"/>
    </xf>
    <xf numFmtId="4" fontId="14" fillId="2" borderId="3" xfId="3" applyNumberFormat="1" applyFont="1" applyFill="1" applyBorder="1" applyAlignment="1" applyProtection="1">
      <alignment horizontal="center" vertical="center"/>
    </xf>
    <xf numFmtId="165" fontId="4" fillId="0" borderId="3" xfId="0" applyNumberFormat="1" applyFont="1" applyFill="1" applyBorder="1" applyAlignment="1">
      <alignment horizontal="right"/>
    </xf>
    <xf numFmtId="0" fontId="11" fillId="0" borderId="0" xfId="2" applyFont="1" applyFill="1" applyBorder="1" applyAlignment="1">
      <alignment horizontal="right" vertical="center"/>
    </xf>
    <xf numFmtId="165" fontId="4" fillId="0" borderId="0" xfId="0" applyNumberFormat="1" applyFont="1" applyFill="1" applyBorder="1" applyAlignment="1">
      <alignment horizontal="right"/>
    </xf>
    <xf numFmtId="43" fontId="4" fillId="0" borderId="0" xfId="0" applyNumberFormat="1" applyFont="1" applyFill="1" applyBorder="1" applyAlignment="1">
      <alignment horizontal="right"/>
    </xf>
    <xf numFmtId="0" fontId="7" fillId="0" borderId="0" xfId="2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wrapText="1"/>
    </xf>
    <xf numFmtId="165" fontId="3" fillId="0" borderId="0" xfId="0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left"/>
    </xf>
    <xf numFmtId="0" fontId="13" fillId="2" borderId="0" xfId="0" applyFont="1" applyFill="1" applyBorder="1" applyAlignment="1" applyProtection="1">
      <alignment horizontal="left" vertical="top"/>
    </xf>
    <xf numFmtId="0" fontId="7" fillId="0" borderId="0" xfId="0" applyFont="1" applyAlignment="1">
      <alignment horizontal="right" vertical="center"/>
    </xf>
    <xf numFmtId="0" fontId="20" fillId="0" borderId="0" xfId="0" applyFont="1" applyAlignment="1">
      <alignment horizontal="left" wrapText="1"/>
    </xf>
    <xf numFmtId="165" fontId="20" fillId="0" borderId="0" xfId="0" applyNumberFormat="1" applyFont="1" applyAlignment="1">
      <alignment horizontal="right"/>
    </xf>
    <xf numFmtId="165" fontId="20" fillId="0" borderId="0" xfId="0" applyNumberFormat="1" applyFont="1" applyAlignment="1">
      <alignment horizontal="left"/>
    </xf>
    <xf numFmtId="43" fontId="20" fillId="0" borderId="0" xfId="0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17" fillId="2" borderId="3" xfId="4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1" fillId="2" borderId="3" xfId="0" applyFont="1" applyFill="1" applyBorder="1" applyAlignment="1" applyProtection="1">
      <alignment horizontal="center" vertical="center" wrapText="1"/>
    </xf>
    <xf numFmtId="0" fontId="21" fillId="0" borderId="7" xfId="0" applyFont="1" applyFill="1" applyBorder="1" applyAlignment="1">
      <alignment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4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left" vertical="top"/>
    </xf>
    <xf numFmtId="0" fontId="3" fillId="0" borderId="0" xfId="0" applyFont="1" applyAlignment="1">
      <alignment horizontal="left" wrapText="1"/>
    </xf>
    <xf numFmtId="0" fontId="7" fillId="3" borderId="0" xfId="0" applyFont="1" applyFill="1" applyAlignment="1">
      <alignment horizontal="left" vertical="top" wrapText="1"/>
    </xf>
    <xf numFmtId="0" fontId="9" fillId="0" borderId="0" xfId="0" applyFont="1" applyAlignment="1">
      <alignment horizontal="center" wrapText="1"/>
    </xf>
    <xf numFmtId="0" fontId="14" fillId="2" borderId="0" xfId="3" applyFont="1" applyFill="1" applyBorder="1" applyAlignment="1" applyProtection="1">
      <alignment horizontal="center" vertical="center"/>
    </xf>
    <xf numFmtId="0" fontId="10" fillId="0" borderId="4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top" wrapText="1"/>
    </xf>
    <xf numFmtId="0" fontId="19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7" fillId="0" borderId="3" xfId="0" applyFont="1" applyFill="1" applyBorder="1" applyAlignment="1">
      <alignment horizontal="center"/>
    </xf>
    <xf numFmtId="0" fontId="14" fillId="0" borderId="0" xfId="3" applyFont="1" applyFill="1" applyBorder="1" applyAlignment="1" applyProtection="1">
      <alignment horizontal="right"/>
      <protection locked="0"/>
    </xf>
    <xf numFmtId="0" fontId="13" fillId="2" borderId="3" xfId="0" applyFont="1" applyFill="1" applyBorder="1" applyAlignment="1" applyProtection="1">
      <alignment horizontal="center" vertical="center" wrapText="1"/>
    </xf>
    <xf numFmtId="0" fontId="14" fillId="2" borderId="0" xfId="3" applyFont="1" applyFill="1" applyBorder="1" applyAlignment="1" applyProtection="1">
      <alignment horizontal="center"/>
    </xf>
    <xf numFmtId="0" fontId="14" fillId="2" borderId="0" xfId="3" applyFont="1" applyFill="1" applyBorder="1" applyAlignment="1" applyProtection="1">
      <alignment horizontal="center" vertical="center" wrapText="1"/>
      <protection locked="0"/>
    </xf>
    <xf numFmtId="0" fontId="15" fillId="2" borderId="0" xfId="4" applyFont="1" applyFill="1" applyBorder="1" applyAlignment="1">
      <alignment horizontal="left" vertical="top"/>
    </xf>
    <xf numFmtId="0" fontId="15" fillId="2" borderId="0" xfId="4" applyFont="1" applyFill="1" applyAlignment="1">
      <alignment horizontal="left" vertical="top" wrapText="1"/>
    </xf>
    <xf numFmtId="0" fontId="15" fillId="2" borderId="0" xfId="4" applyNumberFormat="1" applyFont="1" applyFill="1" applyBorder="1" applyAlignment="1">
      <alignment horizontal="left" vertical="top" wrapText="1"/>
    </xf>
    <xf numFmtId="0" fontId="10" fillId="0" borderId="1" xfId="2" applyFont="1" applyFill="1" applyBorder="1" applyAlignment="1">
      <alignment horizontal="center" vertical="center" wrapText="1"/>
    </xf>
    <xf numFmtId="0" fontId="13" fillId="2" borderId="11" xfId="0" applyFont="1" applyFill="1" applyBorder="1" applyAlignment="1" applyProtection="1">
      <alignment horizontal="left" vertical="top"/>
    </xf>
    <xf numFmtId="0" fontId="15" fillId="2" borderId="0" xfId="4" applyFont="1" applyFill="1" applyBorder="1" applyAlignment="1">
      <alignment horizontal="right" vertical="top"/>
    </xf>
  </cellXfs>
  <cellStyles count="5">
    <cellStyle name="Обычный" xfId="0" builtinId="0"/>
    <cellStyle name="Обычный 2 15" xfId="4"/>
    <cellStyle name="Обычный 2 2" xfId="3"/>
    <cellStyle name="Обычный 5 2" xfId="2"/>
    <cellStyle name="Финансовый" xfId="1" builtin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0"/>
  <sheetViews>
    <sheetView workbookViewId="0">
      <selection activeCell="B43" sqref="B43"/>
    </sheetView>
  </sheetViews>
  <sheetFormatPr defaultColWidth="8.69921875" defaultRowHeight="13.8"/>
  <cols>
    <col min="1" max="1" width="5" style="34" customWidth="1"/>
    <col min="2" max="2" width="44.3984375" style="15" customWidth="1"/>
    <col min="3" max="3" width="10.3984375" style="14" hidden="1" customWidth="1"/>
    <col min="4" max="4" width="8.69921875" style="14" hidden="1" customWidth="1"/>
    <col min="5" max="5" width="9.296875" style="14" customWidth="1"/>
    <col min="6" max="6" width="8.5" style="14" customWidth="1"/>
    <col min="7" max="7" width="8.69921875" style="14"/>
    <col min="8" max="8" width="8.09765625" style="14" customWidth="1"/>
    <col min="9" max="16384" width="8.69921875" style="14"/>
  </cols>
  <sheetData>
    <row r="1" spans="1:8" ht="15.6">
      <c r="E1" s="105" t="s">
        <v>108</v>
      </c>
      <c r="F1" s="105"/>
      <c r="G1" s="105"/>
      <c r="H1" s="105"/>
    </row>
    <row r="2" spans="1:8" ht="41.4" customHeight="1">
      <c r="E2" s="106" t="s">
        <v>111</v>
      </c>
      <c r="F2" s="106"/>
      <c r="G2" s="106"/>
      <c r="H2" s="106"/>
    </row>
    <row r="3" spans="1:8" ht="18.600000000000001" customHeight="1">
      <c r="E3" s="107" t="s">
        <v>113</v>
      </c>
      <c r="F3" s="107"/>
      <c r="G3" s="107"/>
      <c r="H3" s="107"/>
    </row>
    <row r="4" spans="1:8" ht="41.4" customHeight="1">
      <c r="A4" s="108" t="s">
        <v>114</v>
      </c>
      <c r="B4" s="108"/>
      <c r="C4" s="108"/>
      <c r="D4" s="108"/>
      <c r="E4" s="108"/>
      <c r="F4" s="108"/>
      <c r="G4" s="108"/>
      <c r="H4" s="108"/>
    </row>
    <row r="5" spans="1:8" ht="14.4" thickBot="1">
      <c r="A5" s="70"/>
      <c r="E5" s="16"/>
      <c r="F5" s="16"/>
      <c r="G5" s="16" t="s">
        <v>65</v>
      </c>
    </row>
    <row r="6" spans="1:8" ht="42.6" customHeight="1" thickBot="1">
      <c r="A6" s="110" t="s">
        <v>0</v>
      </c>
      <c r="B6" s="17" t="s">
        <v>1</v>
      </c>
      <c r="C6" s="112" t="s">
        <v>94</v>
      </c>
      <c r="D6" s="112"/>
      <c r="E6" s="113" t="s">
        <v>116</v>
      </c>
      <c r="F6" s="114"/>
      <c r="G6" s="101" t="s">
        <v>115</v>
      </c>
      <c r="H6" s="102"/>
    </row>
    <row r="7" spans="1:8" ht="14.4" hidden="1" thickBot="1">
      <c r="A7" s="110"/>
      <c r="B7" s="17" t="s">
        <v>2</v>
      </c>
      <c r="C7" s="103">
        <v>42790</v>
      </c>
      <c r="D7" s="104"/>
      <c r="E7" s="103" t="s">
        <v>64</v>
      </c>
      <c r="F7" s="104"/>
      <c r="G7" s="103" t="s">
        <v>112</v>
      </c>
      <c r="H7" s="104"/>
    </row>
    <row r="8" spans="1:8" ht="27.6">
      <c r="A8" s="111"/>
      <c r="B8" s="17" t="s">
        <v>3</v>
      </c>
      <c r="C8" s="7" t="s">
        <v>4</v>
      </c>
      <c r="D8" s="8" t="s">
        <v>5</v>
      </c>
      <c r="E8" s="7" t="s">
        <v>4</v>
      </c>
      <c r="F8" s="8" t="s">
        <v>5</v>
      </c>
      <c r="G8" s="7" t="s">
        <v>4</v>
      </c>
      <c r="H8" s="94" t="s">
        <v>5</v>
      </c>
    </row>
    <row r="9" spans="1:8" s="5" customFormat="1">
      <c r="A9" s="1">
        <v>1</v>
      </c>
      <c r="B9" s="2">
        <v>2</v>
      </c>
      <c r="C9" s="3">
        <v>3</v>
      </c>
      <c r="D9" s="4">
        <v>4</v>
      </c>
      <c r="E9" s="3">
        <v>3</v>
      </c>
      <c r="F9" s="4">
        <v>4</v>
      </c>
      <c r="G9" s="97">
        <v>7</v>
      </c>
      <c r="H9" s="98">
        <v>8</v>
      </c>
    </row>
    <row r="10" spans="1:8">
      <c r="A10" s="19">
        <v>1</v>
      </c>
      <c r="B10" s="9" t="s">
        <v>6</v>
      </c>
      <c r="C10" s="10">
        <f>C11+C18+C19+C23</f>
        <v>16278.420000000004</v>
      </c>
      <c r="D10" s="11">
        <f>(C10/C49)*1000</f>
        <v>955.72025912631193</v>
      </c>
      <c r="E10" s="10">
        <f>E11+E18+E19+E23</f>
        <v>23612.671760900004</v>
      </c>
      <c r="F10" s="11">
        <f>(E10/E49)*1000</f>
        <v>1386.3205872555136</v>
      </c>
      <c r="G10" s="10">
        <f>G11+G18+G19+G23</f>
        <v>14143.312999999998</v>
      </c>
      <c r="H10" s="11">
        <f>(G10/G49)*1000</f>
        <v>1386.3302025685209</v>
      </c>
    </row>
    <row r="11" spans="1:8">
      <c r="A11" s="19" t="s">
        <v>7</v>
      </c>
      <c r="B11" s="9" t="s">
        <v>8</v>
      </c>
      <c r="C11" s="10">
        <f>SUM(C12:C17)</f>
        <v>15508.250000000002</v>
      </c>
      <c r="D11" s="11">
        <f>(C11/C49)*1000</f>
        <v>910.5029056011349</v>
      </c>
      <c r="E11" s="10">
        <f>SUM(E12:E17)</f>
        <v>22842.501760900006</v>
      </c>
      <c r="F11" s="11">
        <f>(E11/E49)*1000</f>
        <v>1341.1032337303368</v>
      </c>
      <c r="G11" s="10">
        <f>SUM(G12:G17)</f>
        <v>13681.978999999999</v>
      </c>
      <c r="H11" s="11">
        <f>(G11/G49)*1000</f>
        <v>1341.1101570479454</v>
      </c>
    </row>
    <row r="12" spans="1:8">
      <c r="A12" s="20" t="s">
        <v>9</v>
      </c>
      <c r="B12" s="21" t="s">
        <v>10</v>
      </c>
      <c r="C12" s="22">
        <v>14479.69</v>
      </c>
      <c r="D12" s="23">
        <f>(C12/C49)*1000</f>
        <v>850.11524944488883</v>
      </c>
      <c r="E12" s="22">
        <f>E52*E53/1000</f>
        <v>21813.941760900005</v>
      </c>
      <c r="F12" s="23">
        <f>(E12/E49)*1000</f>
        <v>1280.7155775740905</v>
      </c>
      <c r="G12" s="22">
        <v>13065.879000000001</v>
      </c>
      <c r="H12" s="23">
        <f>(G12/G49)*1000</f>
        <v>1280.7199190745328</v>
      </c>
    </row>
    <row r="13" spans="1:8">
      <c r="A13" s="20" t="s">
        <v>11</v>
      </c>
      <c r="B13" s="21" t="s">
        <v>12</v>
      </c>
      <c r="C13" s="22">
        <v>1000.4</v>
      </c>
      <c r="D13" s="23">
        <f>(C13/C49)*1000</f>
        <v>58.734357955499505</v>
      </c>
      <c r="E13" s="22">
        <v>1000.4</v>
      </c>
      <c r="F13" s="23">
        <f>(E13/E49)*1000</f>
        <v>58.734357955499505</v>
      </c>
      <c r="G13" s="22">
        <v>599.23</v>
      </c>
      <c r="H13" s="23">
        <f>(G13/G49)*1000</f>
        <v>58.736637397838464</v>
      </c>
    </row>
    <row r="14" spans="1:8" ht="41.4" hidden="1">
      <c r="A14" s="20" t="s">
        <v>13</v>
      </c>
      <c r="B14" s="24" t="s">
        <v>14</v>
      </c>
      <c r="C14" s="22"/>
      <c r="D14" s="23"/>
      <c r="E14" s="22"/>
      <c r="F14" s="23"/>
      <c r="G14" s="22"/>
      <c r="H14" s="23"/>
    </row>
    <row r="15" spans="1:8" ht="27.6" hidden="1">
      <c r="A15" s="20" t="s">
        <v>15</v>
      </c>
      <c r="B15" s="24" t="s">
        <v>16</v>
      </c>
      <c r="C15" s="22"/>
      <c r="D15" s="23"/>
      <c r="E15" s="22"/>
      <c r="F15" s="23"/>
      <c r="G15" s="22"/>
      <c r="H15" s="23"/>
    </row>
    <row r="16" spans="1:8">
      <c r="A16" s="20" t="s">
        <v>17</v>
      </c>
      <c r="B16" s="24" t="s">
        <v>18</v>
      </c>
      <c r="C16" s="22">
        <v>13.29</v>
      </c>
      <c r="D16" s="23">
        <f>(C16/C49)*1000</f>
        <v>0.78026751022449869</v>
      </c>
      <c r="E16" s="22">
        <f>C16</f>
        <v>13.29</v>
      </c>
      <c r="F16" s="23">
        <f>(E16/E49)*1000</f>
        <v>0.78026751022449869</v>
      </c>
      <c r="G16" s="22">
        <v>7.96</v>
      </c>
      <c r="H16" s="23">
        <f>(G16/G49)*1000</f>
        <v>0.78024069837423726</v>
      </c>
    </row>
    <row r="17" spans="1:8">
      <c r="A17" s="20" t="s">
        <v>19</v>
      </c>
      <c r="B17" s="24" t="s">
        <v>20</v>
      </c>
      <c r="C17" s="22">
        <v>14.87</v>
      </c>
      <c r="D17" s="23">
        <f>(C17/C49)*1000</f>
        <v>0.87303069052206883</v>
      </c>
      <c r="E17" s="22">
        <v>14.87</v>
      </c>
      <c r="F17" s="23">
        <f>(E17/E49)*1000</f>
        <v>0.87303069052206883</v>
      </c>
      <c r="G17" s="22">
        <v>8.91</v>
      </c>
      <c r="H17" s="23">
        <f>(G17/G49)*1000</f>
        <v>0.87335987720030828</v>
      </c>
    </row>
    <row r="18" spans="1:8">
      <c r="A18" s="19" t="s">
        <v>21</v>
      </c>
      <c r="B18" s="9" t="s">
        <v>22</v>
      </c>
      <c r="C18" s="10">
        <f>517.55/122*100</f>
        <v>424.22131147540983</v>
      </c>
      <c r="D18" s="11">
        <f>(C18/C49)*1000</f>
        <v>24.906403799028563</v>
      </c>
      <c r="E18" s="10">
        <f>517.55/122*100</f>
        <v>424.22131147540983</v>
      </c>
      <c r="F18" s="11">
        <f>(E18/E49)*1000</f>
        <v>24.906403799028563</v>
      </c>
      <c r="G18" s="10">
        <f>310.01/122*100</f>
        <v>254.10655737704917</v>
      </c>
      <c r="H18" s="11">
        <f>(G18/G49)*1000</f>
        <v>24.907572586600757</v>
      </c>
    </row>
    <row r="19" spans="1:8">
      <c r="A19" s="19" t="s">
        <v>23</v>
      </c>
      <c r="B19" s="9" t="s">
        <v>24</v>
      </c>
      <c r="C19" s="10">
        <f>SUM(C20:C22)</f>
        <v>316.32868852459018</v>
      </c>
      <c r="D19" s="11">
        <f>(C19/C49)*1000</f>
        <v>18.571933649937016</v>
      </c>
      <c r="E19" s="10">
        <f>SUM(E20:E22)</f>
        <v>316.32868852459018</v>
      </c>
      <c r="F19" s="11">
        <f>(E19/E49)*1000</f>
        <v>18.571933649937016</v>
      </c>
      <c r="G19" s="10">
        <f>SUM(G20:G22)</f>
        <v>189.47244262295084</v>
      </c>
      <c r="H19" s="11">
        <f>(G19/G49)*1000</f>
        <v>18.572124491809515</v>
      </c>
    </row>
    <row r="20" spans="1:8">
      <c r="A20" s="20" t="s">
        <v>25</v>
      </c>
      <c r="B20" s="21" t="s">
        <v>26</v>
      </c>
      <c r="C20" s="22">
        <f>517.55/122*22</f>
        <v>93.328688524590163</v>
      </c>
      <c r="D20" s="23">
        <f>(C20/C49)*1000</f>
        <v>5.479408835786284</v>
      </c>
      <c r="E20" s="22">
        <f>517.55/122*22</f>
        <v>93.328688524590163</v>
      </c>
      <c r="F20" s="23">
        <f>(E20/E49)*1000</f>
        <v>5.479408835786284</v>
      </c>
      <c r="G20" s="22">
        <f>310.01/122*22</f>
        <v>55.90344262295082</v>
      </c>
      <c r="H20" s="23">
        <f>(G20/G49)*1000</f>
        <v>5.4796659690521663</v>
      </c>
    </row>
    <row r="21" spans="1:8">
      <c r="A21" s="20" t="s">
        <v>27</v>
      </c>
      <c r="B21" s="21" t="s">
        <v>28</v>
      </c>
      <c r="C21" s="22">
        <v>52.7</v>
      </c>
      <c r="D21" s="23">
        <f>(C21/C49)*1000</f>
        <v>3.0940630390392085</v>
      </c>
      <c r="E21" s="22">
        <v>52.7</v>
      </c>
      <c r="F21" s="23">
        <f>(E21/E49)*1000</f>
        <v>3.0940630390392085</v>
      </c>
      <c r="G21" s="22">
        <v>31.555</v>
      </c>
      <c r="H21" s="23">
        <f>(G21/G49)*1000</f>
        <v>3.0930270398491273</v>
      </c>
    </row>
    <row r="22" spans="1:8">
      <c r="A22" s="20" t="s">
        <v>29</v>
      </c>
      <c r="B22" s="21" t="s">
        <v>30</v>
      </c>
      <c r="C22" s="22">
        <v>170.3</v>
      </c>
      <c r="D22" s="23">
        <f>(C22/C49)*1000</f>
        <v>9.9984617751115223</v>
      </c>
      <c r="E22" s="22">
        <v>170.3</v>
      </c>
      <c r="F22" s="23">
        <f>(E22/E49)*1000</f>
        <v>9.9984617751115223</v>
      </c>
      <c r="G22" s="22">
        <v>102.014</v>
      </c>
      <c r="H22" s="23">
        <f>(G22/G49)*1000</f>
        <v>9.9994314829082196</v>
      </c>
    </row>
    <row r="23" spans="1:8">
      <c r="A23" s="19" t="s">
        <v>31</v>
      </c>
      <c r="B23" s="9" t="s">
        <v>32</v>
      </c>
      <c r="C23" s="10">
        <f>SUM(C24:C26)</f>
        <v>29.619999999999997</v>
      </c>
      <c r="D23" s="11">
        <f>(C23/C49)*1000</f>
        <v>1.7390160762114109</v>
      </c>
      <c r="E23" s="10">
        <f>SUM(E24:E26)</f>
        <v>29.619999999999997</v>
      </c>
      <c r="F23" s="11">
        <f>(E23/E49)*1000</f>
        <v>1.7390160762114109</v>
      </c>
      <c r="G23" s="10">
        <f>SUM(G24:G26)</f>
        <v>17.754999999999999</v>
      </c>
      <c r="H23" s="11">
        <f>(G23/G49)*1000</f>
        <v>1.7403484421651483</v>
      </c>
    </row>
    <row r="24" spans="1:8">
      <c r="A24" s="20" t="s">
        <v>33</v>
      </c>
      <c r="B24" s="21" t="s">
        <v>34</v>
      </c>
      <c r="C24" s="22">
        <f>16.72/122*100</f>
        <v>13.704918032786884</v>
      </c>
      <c r="D24" s="23">
        <f>(C24/C49)*1000</f>
        <v>0.80462771040432324</v>
      </c>
      <c r="E24" s="22">
        <f>16.72/122*100</f>
        <v>13.704918032786884</v>
      </c>
      <c r="F24" s="23">
        <f>(E24/E49)*1000</f>
        <v>0.80462771040432324</v>
      </c>
      <c r="G24" s="22">
        <f>10.03/122*100</f>
        <v>8.221311475409836</v>
      </c>
      <c r="H24" s="23">
        <f>(G24/G49)*1000</f>
        <v>0.80585449838265089</v>
      </c>
    </row>
    <row r="25" spans="1:8">
      <c r="A25" s="20" t="s">
        <v>35</v>
      </c>
      <c r="B25" s="21" t="s">
        <v>26</v>
      </c>
      <c r="C25" s="22">
        <f>16.72/122*22</f>
        <v>3.0150819672131144</v>
      </c>
      <c r="D25" s="23">
        <f>(C25/C49)*1000</f>
        <v>0.17701809628895113</v>
      </c>
      <c r="E25" s="22">
        <f>16.72/122*22</f>
        <v>3.0150819672131144</v>
      </c>
      <c r="F25" s="23">
        <f>(E25/E49)*1000</f>
        <v>0.17701809628895113</v>
      </c>
      <c r="G25" s="22">
        <f>10.03/122*22</f>
        <v>1.8086885245901638</v>
      </c>
      <c r="H25" s="23">
        <f>(G25/G49)*1000</f>
        <v>0.17728798964418319</v>
      </c>
    </row>
    <row r="26" spans="1:8">
      <c r="A26" s="20" t="s">
        <v>36</v>
      </c>
      <c r="B26" s="21" t="s">
        <v>37</v>
      </c>
      <c r="C26" s="22">
        <v>12.9</v>
      </c>
      <c r="D26" s="23">
        <f>(C26/C49)*1000</f>
        <v>0.75737026951813646</v>
      </c>
      <c r="E26" s="22">
        <v>12.9</v>
      </c>
      <c r="F26" s="23">
        <f>(E26/E49)*1000</f>
        <v>0.75737026951813646</v>
      </c>
      <c r="G26" s="22">
        <v>7.7249999999999996</v>
      </c>
      <c r="H26" s="23">
        <f>(G26/G49)*1000</f>
        <v>0.75720595413831426</v>
      </c>
    </row>
    <row r="27" spans="1:8">
      <c r="A27" s="19" t="s">
        <v>38</v>
      </c>
      <c r="B27" s="9" t="s">
        <v>39</v>
      </c>
      <c r="C27" s="10">
        <f>SUM(C28:C30)</f>
        <v>182.42000000000002</v>
      </c>
      <c r="D27" s="11">
        <f>(C27/C49)*1000</f>
        <v>10.710037563216936</v>
      </c>
      <c r="E27" s="10">
        <f>SUM(E28:E30)</f>
        <v>182.42000000000002</v>
      </c>
      <c r="F27" s="11">
        <f>(E27/E49)*1000</f>
        <v>10.710037563216936</v>
      </c>
      <c r="G27" s="10">
        <f>SUM(G28:G30)</f>
        <v>109.27</v>
      </c>
      <c r="H27" s="11">
        <f>(G27/G49)*1000</f>
        <v>10.710665968762926</v>
      </c>
    </row>
    <row r="28" spans="1:8">
      <c r="A28" s="20" t="s">
        <v>40</v>
      </c>
      <c r="B28" s="21" t="s">
        <v>34</v>
      </c>
      <c r="C28" s="22">
        <f>154.78/122*100</f>
        <v>126.8688524590164</v>
      </c>
      <c r="D28" s="23">
        <f>(C28/C49)*1000</f>
        <v>7.4485811612668158</v>
      </c>
      <c r="E28" s="22">
        <f>154.78/122*100</f>
        <v>126.8688524590164</v>
      </c>
      <c r="F28" s="23">
        <f>(E28/E49)*1000</f>
        <v>7.4485811612668158</v>
      </c>
      <c r="G28" s="22">
        <f>92.71/122*100</f>
        <v>75.991803278688522</v>
      </c>
      <c r="H28" s="23">
        <f>(G28/G49)*1000</f>
        <v>7.4487308619197963</v>
      </c>
    </row>
    <row r="29" spans="1:8">
      <c r="A29" s="20" t="s">
        <v>41</v>
      </c>
      <c r="B29" s="21" t="s">
        <v>26</v>
      </c>
      <c r="C29" s="22">
        <f>154.78/122*22</f>
        <v>27.91114754098361</v>
      </c>
      <c r="D29" s="23">
        <f>(C29/C49)*1000</f>
        <v>1.6386878554786999</v>
      </c>
      <c r="E29" s="22">
        <f>154.78/122*22</f>
        <v>27.91114754098361</v>
      </c>
      <c r="F29" s="23">
        <f>(E29/E49)*1000</f>
        <v>1.6386878554786999</v>
      </c>
      <c r="G29" s="22">
        <f>92.71/122*22</f>
        <v>16.718196721311475</v>
      </c>
      <c r="H29" s="23">
        <f>(G29/G49)*1000</f>
        <v>1.6387207896223552</v>
      </c>
    </row>
    <row r="30" spans="1:8">
      <c r="A30" s="20" t="s">
        <v>42</v>
      </c>
      <c r="B30" s="21" t="s">
        <v>37</v>
      </c>
      <c r="C30" s="22">
        <v>27.64</v>
      </c>
      <c r="D30" s="23">
        <f>(C30/C49)*1000</f>
        <v>1.6227685464714179</v>
      </c>
      <c r="E30" s="22">
        <v>27.64</v>
      </c>
      <c r="F30" s="23">
        <f>(E30/E49)*1000</f>
        <v>1.6227685464714179</v>
      </c>
      <c r="G30" s="22">
        <v>16.559999999999999</v>
      </c>
      <c r="H30" s="23">
        <f>(G30/G49)*1000</f>
        <v>1.6232143172207749</v>
      </c>
    </row>
    <row r="31" spans="1:8" hidden="1">
      <c r="A31" s="19"/>
      <c r="B31" s="9" t="s">
        <v>43</v>
      </c>
      <c r="C31" s="10">
        <v>0</v>
      </c>
      <c r="D31" s="11">
        <f>(C31/C49)*1000</f>
        <v>0</v>
      </c>
      <c r="E31" s="10">
        <v>0</v>
      </c>
      <c r="F31" s="11">
        <f>(E31/E49)*1000</f>
        <v>0</v>
      </c>
      <c r="G31" s="10">
        <v>0</v>
      </c>
      <c r="H31" s="11">
        <f>(G31/G49)*1000</f>
        <v>0</v>
      </c>
    </row>
    <row r="32" spans="1:8" hidden="1">
      <c r="A32" s="20"/>
      <c r="B32" s="21" t="s">
        <v>34</v>
      </c>
      <c r="C32" s="22">
        <v>0</v>
      </c>
      <c r="D32" s="23">
        <f>(C32/C49)*1000</f>
        <v>0</v>
      </c>
      <c r="E32" s="22">
        <v>0</v>
      </c>
      <c r="F32" s="23">
        <f>(E32/E49)*1000</f>
        <v>0</v>
      </c>
      <c r="G32" s="10">
        <v>0</v>
      </c>
      <c r="H32" s="11">
        <f>(G32/G49)*1000</f>
        <v>0</v>
      </c>
    </row>
    <row r="33" spans="1:8" hidden="1">
      <c r="A33" s="20"/>
      <c r="B33" s="21" t="s">
        <v>26</v>
      </c>
      <c r="C33" s="22">
        <v>0</v>
      </c>
      <c r="D33" s="23">
        <f>(C33/C49)*1000</f>
        <v>0</v>
      </c>
      <c r="E33" s="22">
        <v>0</v>
      </c>
      <c r="F33" s="23">
        <f>(E33/E49)*1000</f>
        <v>0</v>
      </c>
      <c r="G33" s="10">
        <f>G10+G27+G31+G32</f>
        <v>14252.582999999999</v>
      </c>
      <c r="H33" s="11">
        <f>(G33/G49)*1000</f>
        <v>1397.040868537284</v>
      </c>
    </row>
    <row r="34" spans="1:8" hidden="1">
      <c r="A34" s="20"/>
      <c r="B34" s="21" t="s">
        <v>37</v>
      </c>
      <c r="C34" s="22">
        <v>0</v>
      </c>
      <c r="D34" s="23">
        <f>(C34/C49)*1000</f>
        <v>0</v>
      </c>
      <c r="E34" s="22">
        <v>0</v>
      </c>
      <c r="F34" s="23">
        <f>(E34/E49)*1000</f>
        <v>0</v>
      </c>
      <c r="G34" s="10">
        <v>0</v>
      </c>
      <c r="H34" s="11">
        <f>(G34/G49)*1000</f>
        <v>0</v>
      </c>
    </row>
    <row r="35" spans="1:8">
      <c r="A35" s="19">
        <v>3</v>
      </c>
      <c r="B35" s="9" t="s">
        <v>44</v>
      </c>
      <c r="C35" s="10">
        <v>0</v>
      </c>
      <c r="D35" s="11">
        <f>(C35/C49)*1000</f>
        <v>0</v>
      </c>
      <c r="E35" s="10">
        <v>0</v>
      </c>
      <c r="F35" s="11">
        <f>(E35/E49)*1000</f>
        <v>0</v>
      </c>
      <c r="G35" s="10">
        <v>0</v>
      </c>
      <c r="H35" s="11">
        <v>0</v>
      </c>
    </row>
    <row r="36" spans="1:8">
      <c r="A36" s="19">
        <v>4</v>
      </c>
      <c r="B36" s="9" t="s">
        <v>45</v>
      </c>
      <c r="C36" s="10">
        <v>0</v>
      </c>
      <c r="D36" s="11">
        <f>(C36/C49)*1000</f>
        <v>0</v>
      </c>
      <c r="E36" s="10">
        <v>0</v>
      </c>
      <c r="F36" s="11">
        <f>(E36/E49)*1000</f>
        <v>0</v>
      </c>
      <c r="G36" s="10">
        <v>0</v>
      </c>
      <c r="H36" s="11">
        <v>0</v>
      </c>
    </row>
    <row r="37" spans="1:8">
      <c r="A37" s="19">
        <v>5</v>
      </c>
      <c r="B37" s="9" t="s">
        <v>46</v>
      </c>
      <c r="C37" s="10">
        <f>C10+C27+C31+C35+C36-0.01</f>
        <v>16460.830000000005</v>
      </c>
      <c r="D37" s="11">
        <f>(C37/C49)*1000</f>
        <v>966.42970958079297</v>
      </c>
      <c r="E37" s="10">
        <f>E10+E27+E31+E35+E36-0.01</f>
        <v>23795.081760900004</v>
      </c>
      <c r="F37" s="11">
        <f>(E37/E49)*1000</f>
        <v>1397.0300377099945</v>
      </c>
      <c r="G37" s="10">
        <f>G10+G27+G31+G35+G36-0.01</f>
        <v>14252.572999999999</v>
      </c>
      <c r="H37" s="11">
        <f>(G37/G49)*1000</f>
        <v>1397.0398883354014</v>
      </c>
    </row>
    <row r="38" spans="1:8">
      <c r="A38" s="19">
        <v>6</v>
      </c>
      <c r="B38" s="9" t="s">
        <v>47</v>
      </c>
      <c r="C38" s="10">
        <v>1250.07</v>
      </c>
      <c r="D38" s="11">
        <f>C38/C49*1000</f>
        <v>73.392701768723782</v>
      </c>
      <c r="E38" s="10">
        <v>0</v>
      </c>
      <c r="F38" s="11">
        <f>E38/E49*1000</f>
        <v>0</v>
      </c>
      <c r="G38" s="10">
        <v>0</v>
      </c>
      <c r="H38" s="11">
        <v>0</v>
      </c>
    </row>
    <row r="39" spans="1:8">
      <c r="A39" s="19">
        <v>7</v>
      </c>
      <c r="B39" s="9" t="s">
        <v>48</v>
      </c>
      <c r="C39" s="10">
        <f t="shared" ref="C39:F39" si="0">SUM(C40:C44)</f>
        <v>391.5</v>
      </c>
      <c r="D39" s="51">
        <f t="shared" si="0"/>
        <v>22.985307016771351</v>
      </c>
      <c r="E39" s="10">
        <f t="shared" si="0"/>
        <v>391.5</v>
      </c>
      <c r="F39" s="45">
        <f t="shared" si="0"/>
        <v>22.985307016771351</v>
      </c>
      <c r="G39" s="10">
        <f t="shared" ref="G39:H39" si="1">SUM(G40:G44)</f>
        <v>234.49</v>
      </c>
      <c r="H39" s="45">
        <f t="shared" si="1"/>
        <v>22.974753939921463</v>
      </c>
    </row>
    <row r="40" spans="1:8">
      <c r="A40" s="20" t="s">
        <v>49</v>
      </c>
      <c r="B40" s="21" t="s">
        <v>50</v>
      </c>
      <c r="C40" s="22">
        <v>70.47</v>
      </c>
      <c r="D40" s="23">
        <f>(C40/C49)*1000</f>
        <v>4.1373552630188426</v>
      </c>
      <c r="E40" s="22">
        <v>70.47</v>
      </c>
      <c r="F40" s="23">
        <f>(E40/E49)*1000</f>
        <v>4.1373552630188426</v>
      </c>
      <c r="G40" s="22">
        <v>42.21</v>
      </c>
      <c r="H40" s="23">
        <f>(G40/G49)*1000</f>
        <v>4.1374321455246932</v>
      </c>
    </row>
    <row r="41" spans="1:8">
      <c r="A41" s="20" t="s">
        <v>51</v>
      </c>
      <c r="B41" s="21" t="s">
        <v>52</v>
      </c>
      <c r="C41" s="22">
        <v>0</v>
      </c>
      <c r="D41" s="23">
        <f>(C41/C49)*1000</f>
        <v>0</v>
      </c>
      <c r="E41" s="22">
        <v>0</v>
      </c>
      <c r="F41" s="23">
        <f>(E41/E49)*1000</f>
        <v>0</v>
      </c>
      <c r="G41" s="22">
        <v>0</v>
      </c>
      <c r="H41" s="23">
        <f>(G41/G49)*1000</f>
        <v>0</v>
      </c>
    </row>
    <row r="42" spans="1:8">
      <c r="A42" s="20" t="s">
        <v>53</v>
      </c>
      <c r="B42" s="21" t="s">
        <v>54</v>
      </c>
      <c r="C42" s="22">
        <v>0</v>
      </c>
      <c r="D42" s="23">
        <f>(C42/C49)*1000</f>
        <v>0</v>
      </c>
      <c r="E42" s="22">
        <v>0</v>
      </c>
      <c r="F42" s="23">
        <f>(E42/E49)*1000</f>
        <v>0</v>
      </c>
      <c r="G42" s="22">
        <v>0</v>
      </c>
      <c r="H42" s="23">
        <f>(G42/G49)*1000</f>
        <v>0</v>
      </c>
    </row>
    <row r="43" spans="1:8">
      <c r="A43" s="20" t="s">
        <v>55</v>
      </c>
      <c r="B43" s="24" t="s">
        <v>56</v>
      </c>
      <c r="C43" s="22">
        <v>321.02999999999997</v>
      </c>
      <c r="D43" s="23">
        <f>(C43/C49)*1000</f>
        <v>18.847951753752508</v>
      </c>
      <c r="E43" s="22">
        <v>321.02999999999997</v>
      </c>
      <c r="F43" s="23">
        <f>(E43/E49)*1000</f>
        <v>18.847951753752508</v>
      </c>
      <c r="G43" s="22">
        <v>192.28</v>
      </c>
      <c r="H43" s="23">
        <f>(G43/G49)*1000-0.01</f>
        <v>18.837321794396772</v>
      </c>
    </row>
    <row r="44" spans="1:8">
      <c r="A44" s="20" t="s">
        <v>57</v>
      </c>
      <c r="B44" s="21" t="s">
        <v>58</v>
      </c>
      <c r="C44" s="22">
        <v>0</v>
      </c>
      <c r="D44" s="23">
        <f>(C44/C49)*1000</f>
        <v>0</v>
      </c>
      <c r="E44" s="22">
        <v>0</v>
      </c>
      <c r="F44" s="23">
        <f>(E44/E49)*1000</f>
        <v>0</v>
      </c>
      <c r="G44" s="22">
        <v>0</v>
      </c>
      <c r="H44" s="23">
        <f>(G44/G49)*1000</f>
        <v>0</v>
      </c>
    </row>
    <row r="45" spans="1:8" ht="13.95" customHeight="1">
      <c r="A45" s="19">
        <v>8</v>
      </c>
      <c r="B45" s="13" t="s">
        <v>59</v>
      </c>
      <c r="C45" s="10">
        <f t="shared" ref="C45:F45" si="2">C37+C39+C38</f>
        <v>18102.400000000005</v>
      </c>
      <c r="D45" s="11">
        <f t="shared" si="2"/>
        <v>1062.8077183662881</v>
      </c>
      <c r="E45" s="10">
        <f t="shared" si="2"/>
        <v>24186.581760900004</v>
      </c>
      <c r="F45" s="11">
        <f t="shared" si="2"/>
        <v>1420.015344726766</v>
      </c>
      <c r="G45" s="10">
        <f>G33+G39+G34</f>
        <v>14487.072999999999</v>
      </c>
      <c r="H45" s="11">
        <f>H33+H39+H34</f>
        <v>1420.0156224772054</v>
      </c>
    </row>
    <row r="46" spans="1:8">
      <c r="A46" s="19">
        <v>9</v>
      </c>
      <c r="B46" s="13" t="s">
        <v>60</v>
      </c>
      <c r="C46" s="10"/>
      <c r="D46" s="11">
        <f>D45</f>
        <v>1062.8077183662881</v>
      </c>
      <c r="E46" s="10"/>
      <c r="F46" s="11">
        <f>F45</f>
        <v>1420.015344726766</v>
      </c>
      <c r="G46" s="10"/>
      <c r="H46" s="11">
        <f>H45</f>
        <v>1420.0156224772054</v>
      </c>
    </row>
    <row r="47" spans="1:8">
      <c r="A47" s="19">
        <v>10</v>
      </c>
      <c r="B47" s="13" t="s">
        <v>110</v>
      </c>
      <c r="C47" s="10"/>
      <c r="D47" s="11"/>
      <c r="E47" s="10"/>
      <c r="F47" s="11">
        <f>F46*1.2</f>
        <v>1704.0184136721191</v>
      </c>
      <c r="G47" s="10"/>
      <c r="H47" s="11">
        <f>F47</f>
        <v>1704.0184136721191</v>
      </c>
    </row>
    <row r="48" spans="1:8">
      <c r="A48" s="20" t="s">
        <v>109</v>
      </c>
      <c r="B48" s="100" t="s">
        <v>89</v>
      </c>
      <c r="C48" s="22"/>
      <c r="D48" s="23"/>
      <c r="E48" s="22"/>
      <c r="F48" s="23">
        <f>F46*0.2</f>
        <v>284.00306894535322</v>
      </c>
      <c r="G48" s="22"/>
      <c r="H48" s="23">
        <f>F48</f>
        <v>284.00306894535322</v>
      </c>
    </row>
    <row r="49" spans="1:8">
      <c r="A49" s="25">
        <v>11</v>
      </c>
      <c r="B49" s="21" t="s">
        <v>61</v>
      </c>
      <c r="C49" s="22">
        <v>17032.62</v>
      </c>
      <c r="D49" s="23"/>
      <c r="E49" s="22">
        <v>17032.62</v>
      </c>
      <c r="F49" s="23"/>
      <c r="G49" s="22">
        <v>10201.98</v>
      </c>
      <c r="H49" s="23"/>
    </row>
    <row r="50" spans="1:8" ht="14.4" thickBot="1">
      <c r="A50" s="26">
        <v>12</v>
      </c>
      <c r="B50" s="27" t="s">
        <v>62</v>
      </c>
      <c r="C50" s="28">
        <f t="shared" ref="C50:E50" si="3">C39/C37*100</f>
        <v>2.3783733870041783</v>
      </c>
      <c r="D50" s="28">
        <f t="shared" si="3"/>
        <v>2.3783733870041783</v>
      </c>
      <c r="E50" s="28">
        <f t="shared" si="3"/>
        <v>1.6452979818851114</v>
      </c>
      <c r="F50" s="28"/>
      <c r="G50" s="28">
        <f>G39/G33*100</f>
        <v>1.6452456372294064</v>
      </c>
      <c r="H50" s="28"/>
    </row>
    <row r="51" spans="1:8">
      <c r="A51" s="29"/>
      <c r="B51" s="30"/>
      <c r="C51" s="31"/>
      <c r="D51" s="32"/>
      <c r="E51" s="31"/>
      <c r="F51" s="32"/>
    </row>
    <row r="52" spans="1:8" s="33" customFormat="1" hidden="1">
      <c r="A52" s="36"/>
      <c r="B52" s="37" t="s">
        <v>67</v>
      </c>
      <c r="C52" s="38">
        <v>2524.79</v>
      </c>
      <c r="D52" s="39"/>
      <c r="E52" s="38">
        <v>2524.7910000000002</v>
      </c>
      <c r="F52" s="39"/>
      <c r="G52" s="14"/>
      <c r="H52" s="14"/>
    </row>
    <row r="53" spans="1:8" s="43" customFormat="1" hidden="1">
      <c r="A53" s="40"/>
      <c r="B53" s="41" t="s">
        <v>66</v>
      </c>
      <c r="C53" s="71">
        <f>C12/C52*1000</f>
        <v>5735.0076640037396</v>
      </c>
      <c r="D53" s="71"/>
      <c r="E53" s="71">
        <v>8639.9000000000015</v>
      </c>
      <c r="F53" s="71"/>
      <c r="G53" s="14"/>
      <c r="H53" s="14"/>
    </row>
    <row r="54" spans="1:8" s="62" customFormat="1" ht="16.95" customHeight="1">
      <c r="A54" s="61"/>
      <c r="B54" s="68" t="s">
        <v>91</v>
      </c>
      <c r="C54" s="72"/>
      <c r="D54" s="72"/>
      <c r="E54" s="109" t="s">
        <v>92</v>
      </c>
      <c r="F54" s="109"/>
      <c r="G54" s="14"/>
      <c r="H54" s="14"/>
    </row>
    <row r="55" spans="1:8">
      <c r="C55" s="15"/>
      <c r="D55" s="15"/>
      <c r="E55" s="15"/>
      <c r="F55" s="15"/>
    </row>
    <row r="56" spans="1:8">
      <c r="C56" s="15"/>
      <c r="D56" s="15"/>
      <c r="E56" s="15"/>
      <c r="F56" s="15"/>
    </row>
    <row r="58" spans="1:8">
      <c r="F58" s="35"/>
      <c r="G58" s="33"/>
      <c r="H58" s="33"/>
    </row>
    <row r="59" spans="1:8">
      <c r="F59" s="35"/>
      <c r="G59" s="43"/>
      <c r="H59" s="43"/>
    </row>
    <row r="60" spans="1:8">
      <c r="G60" s="96"/>
      <c r="H60" s="96"/>
    </row>
  </sheetData>
  <mergeCells count="12">
    <mergeCell ref="E54:F54"/>
    <mergeCell ref="A6:A8"/>
    <mergeCell ref="C6:D6"/>
    <mergeCell ref="E6:F6"/>
    <mergeCell ref="C7:D7"/>
    <mergeCell ref="E7:F7"/>
    <mergeCell ref="G6:H6"/>
    <mergeCell ref="G7:H7"/>
    <mergeCell ref="E1:H1"/>
    <mergeCell ref="E2:H2"/>
    <mergeCell ref="E3:H3"/>
    <mergeCell ref="A4:H4"/>
  </mergeCells>
  <pageMargins left="0.95" right="0.1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8"/>
  <sheetViews>
    <sheetView workbookViewId="0">
      <selection activeCell="F10" sqref="F10"/>
    </sheetView>
  </sheetViews>
  <sheetFormatPr defaultColWidth="8.69921875" defaultRowHeight="13.8"/>
  <cols>
    <col min="1" max="1" width="5" style="34" customWidth="1"/>
    <col min="2" max="2" width="48.19921875" style="15" customWidth="1"/>
    <col min="3" max="3" width="10.3984375" style="14" hidden="1" customWidth="1"/>
    <col min="4" max="4" width="8.69921875" style="14" hidden="1" customWidth="1"/>
    <col min="5" max="5" width="11.5" style="14" customWidth="1"/>
    <col min="6" max="7" width="8.69921875" style="14"/>
    <col min="8" max="8" width="15.3984375" style="14" bestFit="1" customWidth="1"/>
    <col min="9" max="16384" width="8.69921875" style="14"/>
  </cols>
  <sheetData>
    <row r="1" spans="1:7" ht="15.6">
      <c r="E1" s="69" t="s">
        <v>98</v>
      </c>
    </row>
    <row r="2" spans="1:7" ht="39.6" customHeight="1">
      <c r="E2" s="106" t="s">
        <v>96</v>
      </c>
      <c r="F2" s="106"/>
    </row>
    <row r="3" spans="1:7" ht="21" customHeight="1">
      <c r="E3" s="115" t="s">
        <v>97</v>
      </c>
      <c r="F3" s="115"/>
    </row>
    <row r="4" spans="1:7" ht="40.950000000000003" customHeight="1">
      <c r="A4" s="117" t="s">
        <v>95</v>
      </c>
      <c r="B4" s="117"/>
      <c r="C4" s="117"/>
      <c r="D4" s="117"/>
      <c r="E4" s="117"/>
      <c r="F4" s="117"/>
    </row>
    <row r="5" spans="1:7">
      <c r="A5" s="6"/>
      <c r="E5" s="16"/>
      <c r="F5" s="16" t="s">
        <v>65</v>
      </c>
    </row>
    <row r="6" spans="1:7" ht="13.95" hidden="1" customHeight="1">
      <c r="A6" s="47" t="s">
        <v>0</v>
      </c>
      <c r="B6" s="46" t="s">
        <v>1</v>
      </c>
      <c r="C6" s="112" t="s">
        <v>94</v>
      </c>
      <c r="D6" s="112"/>
      <c r="E6" s="118" t="s">
        <v>63</v>
      </c>
      <c r="F6" s="118"/>
    </row>
    <row r="7" spans="1:7" ht="13.95" hidden="1" customHeight="1">
      <c r="A7" s="48"/>
      <c r="B7" s="46" t="s">
        <v>2</v>
      </c>
      <c r="C7" s="103">
        <v>42790</v>
      </c>
      <c r="D7" s="104"/>
      <c r="E7" s="103" t="s">
        <v>64</v>
      </c>
      <c r="F7" s="104"/>
    </row>
    <row r="8" spans="1:7" ht="27.6">
      <c r="A8" s="49" t="s">
        <v>93</v>
      </c>
      <c r="B8" s="46" t="s">
        <v>3</v>
      </c>
      <c r="C8" s="18" t="s">
        <v>4</v>
      </c>
      <c r="D8" s="18" t="s">
        <v>5</v>
      </c>
      <c r="E8" s="18" t="s">
        <v>4</v>
      </c>
      <c r="F8" s="18" t="s">
        <v>5</v>
      </c>
    </row>
    <row r="9" spans="1:7" s="5" customFormat="1" ht="10.199999999999999">
      <c r="A9" s="1">
        <v>1</v>
      </c>
      <c r="B9" s="2">
        <v>2</v>
      </c>
      <c r="C9" s="3">
        <v>3</v>
      </c>
      <c r="D9" s="4">
        <v>4</v>
      </c>
      <c r="E9" s="3">
        <v>3</v>
      </c>
      <c r="F9" s="4">
        <v>4</v>
      </c>
    </row>
    <row r="10" spans="1:7">
      <c r="A10" s="19">
        <v>1</v>
      </c>
      <c r="B10" s="9" t="s">
        <v>6</v>
      </c>
      <c r="C10" s="10">
        <f>C11+C18+C19+C23</f>
        <v>15651.630000000001</v>
      </c>
      <c r="D10" s="11">
        <f>(C10/C47)*1000</f>
        <v>918.92087065877138</v>
      </c>
      <c r="E10" s="10">
        <f>E11+E18+E19+E23</f>
        <v>22985.881760900003</v>
      </c>
      <c r="F10" s="11">
        <f>(E10/E47)*1000</f>
        <v>1349.5211987879729</v>
      </c>
    </row>
    <row r="11" spans="1:7">
      <c r="A11" s="19" t="s">
        <v>7</v>
      </c>
      <c r="B11" s="9" t="s">
        <v>8</v>
      </c>
      <c r="C11" s="10">
        <f>SUM(C12:C17)</f>
        <v>15361.11</v>
      </c>
      <c r="D11" s="11">
        <f>(C11/C47)*1000</f>
        <v>901.86418765873964</v>
      </c>
      <c r="E11" s="10">
        <f>SUM(E12:E17)</f>
        <v>22695.361760900007</v>
      </c>
      <c r="F11" s="11">
        <f>(E11/E47)*1000</f>
        <v>1332.4645157879415</v>
      </c>
    </row>
    <row r="12" spans="1:7">
      <c r="A12" s="20" t="s">
        <v>9</v>
      </c>
      <c r="B12" s="21" t="s">
        <v>10</v>
      </c>
      <c r="C12" s="22">
        <v>14479.69</v>
      </c>
      <c r="D12" s="23">
        <f>(C12/C47)*1000</f>
        <v>850.11524944488883</v>
      </c>
      <c r="E12" s="22">
        <f>'Корегування те бюдж'!E12</f>
        <v>21813.941760900005</v>
      </c>
      <c r="F12" s="23">
        <f>(E12/E47)*1000</f>
        <v>1280.7155775740905</v>
      </c>
      <c r="G12" s="35"/>
    </row>
    <row r="13" spans="1:7">
      <c r="A13" s="20" t="s">
        <v>11</v>
      </c>
      <c r="B13" s="21" t="s">
        <v>12</v>
      </c>
      <c r="C13" s="22">
        <v>872.91</v>
      </c>
      <c r="D13" s="23">
        <f>(C13/C47)*1000</f>
        <v>51.24930867946329</v>
      </c>
      <c r="E13" s="22">
        <v>872.91</v>
      </c>
      <c r="F13" s="23">
        <f>(E13/E47)*1000</f>
        <v>51.24930867946329</v>
      </c>
    </row>
    <row r="14" spans="1:7" ht="27.6" hidden="1">
      <c r="A14" s="20" t="s">
        <v>13</v>
      </c>
      <c r="B14" s="24" t="s">
        <v>14</v>
      </c>
      <c r="C14" s="22"/>
      <c r="D14" s="23"/>
      <c r="E14" s="22"/>
      <c r="F14" s="23"/>
    </row>
    <row r="15" spans="1:7" ht="27.6" hidden="1">
      <c r="A15" s="20" t="s">
        <v>15</v>
      </c>
      <c r="B15" s="24" t="s">
        <v>16</v>
      </c>
      <c r="C15" s="22"/>
      <c r="D15" s="23"/>
      <c r="E15" s="22"/>
      <c r="F15" s="23"/>
    </row>
    <row r="16" spans="1:7">
      <c r="A16" s="20" t="s">
        <v>17</v>
      </c>
      <c r="B16" s="24" t="s">
        <v>18</v>
      </c>
      <c r="C16" s="22">
        <v>0.68</v>
      </c>
      <c r="D16" s="23">
        <f>(C16/C47)*1000</f>
        <v>3.9923394052118817E-2</v>
      </c>
      <c r="E16" s="22">
        <v>0.68</v>
      </c>
      <c r="F16" s="23">
        <f>(E16/E47)*1000</f>
        <v>3.9923394052118817E-2</v>
      </c>
    </row>
    <row r="17" spans="1:6">
      <c r="A17" s="20" t="s">
        <v>19</v>
      </c>
      <c r="B17" s="24" t="s">
        <v>20</v>
      </c>
      <c r="C17" s="22">
        <v>7.83</v>
      </c>
      <c r="D17" s="23">
        <f>(C17/C47)*1000</f>
        <v>0.45970614033542695</v>
      </c>
      <c r="E17" s="22">
        <v>7.83</v>
      </c>
      <c r="F17" s="23">
        <f>(E17/E47)*1000</f>
        <v>0.45970614033542695</v>
      </c>
    </row>
    <row r="18" spans="1:6">
      <c r="A18" s="19" t="s">
        <v>21</v>
      </c>
      <c r="B18" s="9" t="s">
        <v>22</v>
      </c>
      <c r="C18" s="10">
        <f>192.25/122*100</f>
        <v>157.58196721311475</v>
      </c>
      <c r="D18" s="11">
        <f>(C18/C47)*1000</f>
        <v>9.2517749596430114</v>
      </c>
      <c r="E18" s="10">
        <f>192.25/122*100</f>
        <v>157.58196721311475</v>
      </c>
      <c r="F18" s="11">
        <f>(E18/E47)*1000</f>
        <v>9.2517749596430114</v>
      </c>
    </row>
    <row r="19" spans="1:6">
      <c r="A19" s="19" t="s">
        <v>23</v>
      </c>
      <c r="B19" s="9" t="s">
        <v>24</v>
      </c>
      <c r="C19" s="10">
        <f>SUM(C20:C22)</f>
        <v>106.42803278688524</v>
      </c>
      <c r="D19" s="11">
        <f>(C19/C47)*1000</f>
        <v>6.2484827810921182</v>
      </c>
      <c r="E19" s="10">
        <f>SUM(E20:E22)</f>
        <v>106.42803278688524</v>
      </c>
      <c r="F19" s="11">
        <f>(E19/E47)*1000</f>
        <v>6.2484827810921182</v>
      </c>
    </row>
    <row r="20" spans="1:6">
      <c r="A20" s="20" t="s">
        <v>25</v>
      </c>
      <c r="B20" s="21" t="s">
        <v>26</v>
      </c>
      <c r="C20" s="22">
        <f>192.25/122*22</f>
        <v>34.668032786885242</v>
      </c>
      <c r="D20" s="23">
        <f>(C20/C47)*1000</f>
        <v>2.0353904911214622</v>
      </c>
      <c r="E20" s="22">
        <f>192.25/122*22</f>
        <v>34.668032786885242</v>
      </c>
      <c r="F20" s="23">
        <f>(E20/E47)*1000</f>
        <v>2.0353904911214622</v>
      </c>
    </row>
    <row r="21" spans="1:6">
      <c r="A21" s="20" t="s">
        <v>27</v>
      </c>
      <c r="B21" s="21" t="s">
        <v>28</v>
      </c>
      <c r="C21" s="22">
        <v>15.43</v>
      </c>
      <c r="D21" s="23">
        <f>(C21/C47)*1000</f>
        <v>0.90590877974146078</v>
      </c>
      <c r="E21" s="22">
        <v>15.43</v>
      </c>
      <c r="F21" s="23">
        <f>(E21/E47)*1000</f>
        <v>0.90590877974146078</v>
      </c>
    </row>
    <row r="22" spans="1:6">
      <c r="A22" s="20" t="s">
        <v>29</v>
      </c>
      <c r="B22" s="21" t="s">
        <v>30</v>
      </c>
      <c r="C22" s="22">
        <v>56.33</v>
      </c>
      <c r="D22" s="23">
        <f>(C22/C47)*1000</f>
        <v>3.3071835102291955</v>
      </c>
      <c r="E22" s="22">
        <v>56.33</v>
      </c>
      <c r="F22" s="23">
        <f>(E22/E47)*1000</f>
        <v>3.3071835102291955</v>
      </c>
    </row>
    <row r="23" spans="1:6">
      <c r="A23" s="19" t="s">
        <v>31</v>
      </c>
      <c r="B23" s="9" t="s">
        <v>32</v>
      </c>
      <c r="C23" s="10">
        <f>SUM(C24:C26)</f>
        <v>26.510000000000005</v>
      </c>
      <c r="D23" s="11">
        <f>(C23/C47)*1000</f>
        <v>1.5564252592965737</v>
      </c>
      <c r="E23" s="10">
        <f>SUM(E24:E26)</f>
        <v>26.510000000000005</v>
      </c>
      <c r="F23" s="11">
        <f>(E23/E47)*1000</f>
        <v>1.5564252592965737</v>
      </c>
    </row>
    <row r="24" spans="1:6">
      <c r="A24" s="20" t="s">
        <v>33</v>
      </c>
      <c r="B24" s="21" t="s">
        <v>34</v>
      </c>
      <c r="C24" s="22">
        <f>14.96/122*100</f>
        <v>12.262295081967215</v>
      </c>
      <c r="D24" s="23">
        <f>(C24/C47)*1000</f>
        <v>0.7199300566775525</v>
      </c>
      <c r="E24" s="22">
        <f>14.96/122*100</f>
        <v>12.262295081967215</v>
      </c>
      <c r="F24" s="23">
        <f>(E24/E47)*1000</f>
        <v>0.7199300566775525</v>
      </c>
    </row>
    <row r="25" spans="1:6">
      <c r="A25" s="20" t="s">
        <v>35</v>
      </c>
      <c r="B25" s="21" t="s">
        <v>26</v>
      </c>
      <c r="C25" s="22">
        <f>14.96/122*22</f>
        <v>2.697704918032787</v>
      </c>
      <c r="D25" s="23">
        <f>(C25/C47)*1000</f>
        <v>0.15838461246906155</v>
      </c>
      <c r="E25" s="22">
        <f>14.96/122*22</f>
        <v>2.697704918032787</v>
      </c>
      <c r="F25" s="23">
        <f>(E25/E47)*1000</f>
        <v>0.15838461246906155</v>
      </c>
    </row>
    <row r="26" spans="1:6">
      <c r="A26" s="20" t="s">
        <v>36</v>
      </c>
      <c r="B26" s="21" t="s">
        <v>37</v>
      </c>
      <c r="C26" s="22">
        <v>11.55</v>
      </c>
      <c r="D26" s="23">
        <f>(C26/C47)*1000</f>
        <v>0.67811059014995934</v>
      </c>
      <c r="E26" s="22">
        <v>11.55</v>
      </c>
      <c r="F26" s="23">
        <f>(E26/E47)*1000</f>
        <v>0.67811059014995934</v>
      </c>
    </row>
    <row r="27" spans="1:6">
      <c r="A27" s="19" t="s">
        <v>38</v>
      </c>
      <c r="B27" s="9" t="s">
        <v>39</v>
      </c>
      <c r="C27" s="10">
        <f>SUM(C28:C30)</f>
        <v>163.23000000000002</v>
      </c>
      <c r="D27" s="11">
        <f>(C27/C47)*1000</f>
        <v>9.5833758987166995</v>
      </c>
      <c r="E27" s="10">
        <f>SUM(E28:E30)</f>
        <v>163.23000000000002</v>
      </c>
      <c r="F27" s="11">
        <f>(E27/E47)*1000</f>
        <v>9.5833758987166995</v>
      </c>
    </row>
    <row r="28" spans="1:6">
      <c r="A28" s="20" t="s">
        <v>40</v>
      </c>
      <c r="B28" s="21" t="s">
        <v>34</v>
      </c>
      <c r="C28" s="22">
        <f>138.49/122*100</f>
        <v>113.51639344262297</v>
      </c>
      <c r="D28" s="23">
        <f>(C28/C47)*1000</f>
        <v>6.6646466276252845</v>
      </c>
      <c r="E28" s="22">
        <f>138.49/122*100</f>
        <v>113.51639344262297</v>
      </c>
      <c r="F28" s="23">
        <f>(E28/E47)*1000</f>
        <v>6.6646466276252845</v>
      </c>
    </row>
    <row r="29" spans="1:6">
      <c r="A29" s="20" t="s">
        <v>41</v>
      </c>
      <c r="B29" s="21" t="s">
        <v>26</v>
      </c>
      <c r="C29" s="22">
        <f>138.49/122*22</f>
        <v>24.973606557377053</v>
      </c>
      <c r="D29" s="23">
        <f>(C29/C47)*1000</f>
        <v>1.4662222580775626</v>
      </c>
      <c r="E29" s="22">
        <f>138.49/122*22</f>
        <v>24.973606557377053</v>
      </c>
      <c r="F29" s="23">
        <f>(E29/E47)*1000</f>
        <v>1.4662222580775626</v>
      </c>
    </row>
    <row r="30" spans="1:6">
      <c r="A30" s="20" t="s">
        <v>42</v>
      </c>
      <c r="B30" s="21" t="s">
        <v>37</v>
      </c>
      <c r="C30" s="22">
        <v>24.74</v>
      </c>
      <c r="D30" s="23">
        <f>(C30/C47)*1000</f>
        <v>1.4525070130138522</v>
      </c>
      <c r="E30" s="22">
        <v>24.74</v>
      </c>
      <c r="F30" s="23">
        <f>(E30/E47)*1000</f>
        <v>1.4525070130138522</v>
      </c>
    </row>
    <row r="31" spans="1:6" hidden="1">
      <c r="A31" s="19"/>
      <c r="B31" s="9" t="s">
        <v>43</v>
      </c>
      <c r="C31" s="10">
        <v>0</v>
      </c>
      <c r="D31" s="11">
        <f>(C31/C47)*1000</f>
        <v>0</v>
      </c>
      <c r="E31" s="10">
        <v>0</v>
      </c>
      <c r="F31" s="11">
        <f>(E31/E47)*1000</f>
        <v>0</v>
      </c>
    </row>
    <row r="32" spans="1:6" hidden="1">
      <c r="A32" s="20"/>
      <c r="B32" s="21" t="s">
        <v>34</v>
      </c>
      <c r="C32" s="22">
        <v>0</v>
      </c>
      <c r="D32" s="23">
        <f>(C32/C47)*1000</f>
        <v>0</v>
      </c>
      <c r="E32" s="22">
        <v>0</v>
      </c>
      <c r="F32" s="23">
        <f>(E32/E47)*1000</f>
        <v>0</v>
      </c>
    </row>
    <row r="33" spans="1:6" hidden="1">
      <c r="A33" s="20"/>
      <c r="B33" s="21" t="s">
        <v>26</v>
      </c>
      <c r="C33" s="22">
        <v>0</v>
      </c>
      <c r="D33" s="23">
        <f>(C33/C47)*1000</f>
        <v>0</v>
      </c>
      <c r="E33" s="22">
        <v>0</v>
      </c>
      <c r="F33" s="23">
        <f>(E33/E47)*1000</f>
        <v>0</v>
      </c>
    </row>
    <row r="34" spans="1:6" hidden="1">
      <c r="A34" s="20"/>
      <c r="B34" s="21" t="s">
        <v>37</v>
      </c>
      <c r="C34" s="22">
        <v>0</v>
      </c>
      <c r="D34" s="23">
        <f>(C34/C47)*1000</f>
        <v>0</v>
      </c>
      <c r="E34" s="22">
        <v>0</v>
      </c>
      <c r="F34" s="23">
        <f>(E34/E47)*1000</f>
        <v>0</v>
      </c>
    </row>
    <row r="35" spans="1:6">
      <c r="A35" s="19">
        <v>3</v>
      </c>
      <c r="B35" s="9" t="s">
        <v>44</v>
      </c>
      <c r="C35" s="10">
        <v>0</v>
      </c>
      <c r="D35" s="11">
        <f>(C35/C47)*1000</f>
        <v>0</v>
      </c>
      <c r="E35" s="10">
        <v>0</v>
      </c>
      <c r="F35" s="11">
        <f>(E35/E47)*1000</f>
        <v>0</v>
      </c>
    </row>
    <row r="36" spans="1:6">
      <c r="A36" s="19">
        <v>4</v>
      </c>
      <c r="B36" s="9" t="s">
        <v>45</v>
      </c>
      <c r="C36" s="10">
        <v>0</v>
      </c>
      <c r="D36" s="11">
        <f>(C36/C47)*1000</f>
        <v>0</v>
      </c>
      <c r="E36" s="10">
        <v>0</v>
      </c>
      <c r="F36" s="11">
        <f>(E36/E47)*1000</f>
        <v>0</v>
      </c>
    </row>
    <row r="37" spans="1:6">
      <c r="A37" s="19">
        <v>5</v>
      </c>
      <c r="B37" s="9" t="s">
        <v>46</v>
      </c>
      <c r="C37" s="10">
        <f>C10+C27+C31+C35+C36-0.01</f>
        <v>15814.85</v>
      </c>
      <c r="D37" s="11">
        <f>(C37/C47)*1000</f>
        <v>928.50365944875193</v>
      </c>
      <c r="E37" s="10">
        <f>E10+E27+E31+E35+E36-0.01</f>
        <v>23149.101760900005</v>
      </c>
      <c r="F37" s="11">
        <f>(E37/E47)*1000</f>
        <v>1359.1039875779538</v>
      </c>
    </row>
    <row r="38" spans="1:6">
      <c r="A38" s="19">
        <v>6</v>
      </c>
      <c r="B38" s="9" t="s">
        <v>47</v>
      </c>
      <c r="C38" s="10">
        <v>1250.07</v>
      </c>
      <c r="D38" s="11">
        <f>C38/C47*1000</f>
        <v>73.392701768723782</v>
      </c>
      <c r="E38" s="10">
        <v>0</v>
      </c>
      <c r="F38" s="11">
        <f>E38/E47*1000</f>
        <v>0</v>
      </c>
    </row>
    <row r="39" spans="1:6">
      <c r="A39" s="19">
        <v>7</v>
      </c>
      <c r="B39" s="9" t="s">
        <v>48</v>
      </c>
      <c r="C39" s="10">
        <f t="shared" ref="C39:F39" si="0">SUM(C40:C44)</f>
        <v>391.5</v>
      </c>
      <c r="D39" s="12">
        <f t="shared" si="0"/>
        <v>22.985307016771351</v>
      </c>
      <c r="E39" s="10">
        <f t="shared" ref="E39" si="1">SUM(E40:E44)</f>
        <v>391.5</v>
      </c>
      <c r="F39" s="45">
        <f t="shared" si="0"/>
        <v>22.985307016771351</v>
      </c>
    </row>
    <row r="40" spans="1:6">
      <c r="A40" s="20" t="s">
        <v>49</v>
      </c>
      <c r="B40" s="21" t="s">
        <v>50</v>
      </c>
      <c r="C40" s="22">
        <v>70.47</v>
      </c>
      <c r="D40" s="23">
        <f>(C40/C47)*1000</f>
        <v>4.1373552630188426</v>
      </c>
      <c r="E40" s="22">
        <v>70.47</v>
      </c>
      <c r="F40" s="23">
        <f>(E40/E47)*1000</f>
        <v>4.1373552630188426</v>
      </c>
    </row>
    <row r="41" spans="1:6">
      <c r="A41" s="20" t="s">
        <v>51</v>
      </c>
      <c r="B41" s="21" t="s">
        <v>52</v>
      </c>
      <c r="C41" s="22">
        <v>0</v>
      </c>
      <c r="D41" s="23">
        <f>(C41/C47)*1000</f>
        <v>0</v>
      </c>
      <c r="E41" s="22">
        <v>0</v>
      </c>
      <c r="F41" s="23">
        <f>(E41/E47)*1000</f>
        <v>0</v>
      </c>
    </row>
    <row r="42" spans="1:6">
      <c r="A42" s="20" t="s">
        <v>53</v>
      </c>
      <c r="B42" s="21" t="s">
        <v>54</v>
      </c>
      <c r="C42" s="22">
        <v>0</v>
      </c>
      <c r="D42" s="23">
        <f>(C42/C47)*1000</f>
        <v>0</v>
      </c>
      <c r="E42" s="22">
        <v>0</v>
      </c>
      <c r="F42" s="23">
        <f>(E42/E47)*1000</f>
        <v>0</v>
      </c>
    </row>
    <row r="43" spans="1:6">
      <c r="A43" s="20" t="s">
        <v>55</v>
      </c>
      <c r="B43" s="24" t="s">
        <v>56</v>
      </c>
      <c r="C43" s="22">
        <v>321.02999999999997</v>
      </c>
      <c r="D43" s="23">
        <f>(C43/C47)*1000</f>
        <v>18.847951753752508</v>
      </c>
      <c r="E43" s="22">
        <v>321.02999999999997</v>
      </c>
      <c r="F43" s="23">
        <f>(E43/E47)*1000</f>
        <v>18.847951753752508</v>
      </c>
    </row>
    <row r="44" spans="1:6">
      <c r="A44" s="20" t="s">
        <v>57</v>
      </c>
      <c r="B44" s="21" t="s">
        <v>58</v>
      </c>
      <c r="C44" s="22">
        <v>0</v>
      </c>
      <c r="D44" s="23">
        <f>(C44/C47)*1000</f>
        <v>0</v>
      </c>
      <c r="E44" s="22">
        <v>0</v>
      </c>
      <c r="F44" s="23">
        <f>(E44/E47)*1000</f>
        <v>0</v>
      </c>
    </row>
    <row r="45" spans="1:6" ht="13.95" customHeight="1">
      <c r="A45" s="19">
        <v>8</v>
      </c>
      <c r="B45" s="13" t="s">
        <v>59</v>
      </c>
      <c r="C45" s="10">
        <f t="shared" ref="C45:F45" si="2">C37+C39+C38</f>
        <v>17456.420000000002</v>
      </c>
      <c r="D45" s="11">
        <f t="shared" si="2"/>
        <v>1024.8816682342472</v>
      </c>
      <c r="E45" s="10">
        <f t="shared" ref="E45" si="3">E37+E39+E38</f>
        <v>23540.601760900005</v>
      </c>
      <c r="F45" s="11">
        <f t="shared" si="2"/>
        <v>1382.0892945947253</v>
      </c>
    </row>
    <row r="46" spans="1:6">
      <c r="A46" s="19">
        <v>9</v>
      </c>
      <c r="B46" s="13" t="s">
        <v>60</v>
      </c>
      <c r="C46" s="10"/>
      <c r="D46" s="11">
        <f>D45</f>
        <v>1024.8816682342472</v>
      </c>
      <c r="E46" s="10"/>
      <c r="F46" s="11">
        <f>F45</f>
        <v>1382.0892945947253</v>
      </c>
    </row>
    <row r="47" spans="1:6">
      <c r="A47" s="25">
        <v>10</v>
      </c>
      <c r="B47" s="21" t="s">
        <v>61</v>
      </c>
      <c r="C47" s="22">
        <v>17032.62</v>
      </c>
      <c r="D47" s="23"/>
      <c r="E47" s="22">
        <v>17032.62</v>
      </c>
      <c r="F47" s="23"/>
    </row>
    <row r="48" spans="1:6" ht="14.4" thickBot="1">
      <c r="A48" s="26">
        <v>11</v>
      </c>
      <c r="B48" s="27" t="s">
        <v>62</v>
      </c>
      <c r="C48" s="28">
        <f t="shared" ref="C48:F48" si="4">C39/C37*100</f>
        <v>2.4755214244839499</v>
      </c>
      <c r="D48" s="28">
        <f t="shared" si="4"/>
        <v>2.4755214244839503</v>
      </c>
      <c r="E48" s="28">
        <f t="shared" si="4"/>
        <v>1.6912103287794225</v>
      </c>
      <c r="F48" s="28">
        <f t="shared" si="4"/>
        <v>1.6912103287794225</v>
      </c>
    </row>
    <row r="49" spans="1:7">
      <c r="A49" s="29"/>
      <c r="B49" s="30"/>
      <c r="C49" s="31"/>
      <c r="D49" s="32"/>
      <c r="E49" s="31"/>
      <c r="F49" s="32"/>
    </row>
    <row r="50" spans="1:7" s="33" customFormat="1" hidden="1">
      <c r="A50" s="36"/>
      <c r="B50" s="37" t="s">
        <v>67</v>
      </c>
      <c r="C50" s="38">
        <v>2524.79</v>
      </c>
      <c r="D50" s="39"/>
      <c r="E50" s="38">
        <v>2524.7910000000002</v>
      </c>
      <c r="F50" s="39"/>
    </row>
    <row r="51" spans="1:7" s="43" customFormat="1" hidden="1">
      <c r="A51" s="40"/>
      <c r="B51" s="41" t="s">
        <v>66</v>
      </c>
      <c r="C51" s="42">
        <f>C12/C50*1000</f>
        <v>5735.0076640037396</v>
      </c>
      <c r="D51" s="42"/>
      <c r="E51" s="71">
        <f>E12/E50*1000</f>
        <v>8639.9000000000015</v>
      </c>
      <c r="F51" s="71"/>
    </row>
    <row r="52" spans="1:7" ht="15.6">
      <c r="A52" s="73"/>
      <c r="B52" s="74" t="s">
        <v>91</v>
      </c>
      <c r="C52" s="75"/>
      <c r="D52" s="75"/>
      <c r="E52" s="116" t="s">
        <v>92</v>
      </c>
      <c r="F52" s="116"/>
    </row>
    <row r="53" spans="1:7">
      <c r="A53" s="29"/>
      <c r="B53" s="50"/>
      <c r="C53" s="30"/>
      <c r="D53" s="30"/>
      <c r="E53" s="32"/>
      <c r="F53" s="30"/>
    </row>
    <row r="54" spans="1:7">
      <c r="C54" s="15"/>
      <c r="D54" s="15"/>
      <c r="E54" s="15"/>
      <c r="F54" s="15"/>
    </row>
    <row r="55" spans="1:7">
      <c r="C55" s="15"/>
      <c r="D55" s="15"/>
      <c r="E55" s="15"/>
      <c r="F55" s="15"/>
    </row>
    <row r="56" spans="1:7">
      <c r="F56" s="14">
        <f>F46*1.2</f>
        <v>1658.5071535136703</v>
      </c>
    </row>
    <row r="57" spans="1:7">
      <c r="F57" s="35">
        <f>F46</f>
        <v>1382.0892945947253</v>
      </c>
      <c r="G57" s="35">
        <f>'Корегування те бюдж'!F46-'корегування вир бюдж'!F57</f>
        <v>37.9260501320407</v>
      </c>
    </row>
    <row r="58" spans="1:7">
      <c r="F58" s="35">
        <f>F57*0.2</f>
        <v>276.41785891894506</v>
      </c>
    </row>
  </sheetData>
  <mergeCells count="8">
    <mergeCell ref="E2:F2"/>
    <mergeCell ref="E3:F3"/>
    <mergeCell ref="E52:F52"/>
    <mergeCell ref="A4:F4"/>
    <mergeCell ref="C6:D6"/>
    <mergeCell ref="E6:F6"/>
    <mergeCell ref="C7:D7"/>
    <mergeCell ref="E7:F7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activeCell="C12" sqref="C12"/>
    </sheetView>
  </sheetViews>
  <sheetFormatPr defaultColWidth="8.69921875" defaultRowHeight="16.95" customHeight="1"/>
  <cols>
    <col min="1" max="1" width="7.09765625" style="52" customWidth="1"/>
    <col min="2" max="2" width="44.69921875" style="52" customWidth="1"/>
    <col min="3" max="3" width="14.19921875" style="52" customWidth="1"/>
    <col min="4" max="4" width="14.19921875" style="52" hidden="1" customWidth="1"/>
    <col min="5" max="5" width="14.5" style="52" hidden="1" customWidth="1"/>
    <col min="6" max="6" width="15" style="52" customWidth="1"/>
    <col min="7" max="16384" width="8.69921875" style="52"/>
  </cols>
  <sheetData>
    <row r="1" spans="1:6" ht="16.95" customHeight="1">
      <c r="A1" s="44"/>
      <c r="B1" s="44"/>
      <c r="C1" s="123" t="s">
        <v>98</v>
      </c>
      <c r="D1" s="123"/>
      <c r="E1" s="123"/>
      <c r="F1" s="123"/>
    </row>
    <row r="2" spans="1:6" ht="51" customHeight="1">
      <c r="A2" s="44"/>
      <c r="B2" s="44"/>
      <c r="C2" s="124" t="s">
        <v>111</v>
      </c>
      <c r="D2" s="124"/>
      <c r="E2" s="124"/>
      <c r="F2" s="124"/>
    </row>
    <row r="3" spans="1:6" ht="57" customHeight="1">
      <c r="A3" s="44"/>
      <c r="B3" s="44"/>
      <c r="C3" s="125" t="s">
        <v>117</v>
      </c>
      <c r="D3" s="125"/>
      <c r="E3" s="125"/>
      <c r="F3" s="125"/>
    </row>
    <row r="4" spans="1:6" ht="27.6" customHeight="1">
      <c r="A4" s="122" t="s">
        <v>118</v>
      </c>
      <c r="B4" s="122"/>
      <c r="C4" s="122"/>
      <c r="D4" s="122"/>
      <c r="E4" s="122"/>
      <c r="F4" s="122"/>
    </row>
    <row r="5" spans="1:6" ht="37.200000000000003" customHeight="1">
      <c r="A5" s="122"/>
      <c r="B5" s="122"/>
      <c r="C5" s="122"/>
      <c r="D5" s="122"/>
      <c r="E5" s="122"/>
      <c r="F5" s="122"/>
    </row>
    <row r="6" spans="1:6" ht="16.95" customHeight="1">
      <c r="A6" s="53"/>
      <c r="B6" s="53"/>
      <c r="C6" s="119" t="s">
        <v>65</v>
      </c>
      <c r="D6" s="119"/>
      <c r="E6" s="119"/>
    </row>
    <row r="7" spans="1:6" ht="56.4" customHeight="1">
      <c r="A7" s="120" t="s">
        <v>70</v>
      </c>
      <c r="B7" s="120" t="s">
        <v>71</v>
      </c>
      <c r="C7" s="95" t="s">
        <v>116</v>
      </c>
      <c r="D7" s="54" t="s">
        <v>72</v>
      </c>
      <c r="E7" s="54" t="s">
        <v>73</v>
      </c>
      <c r="F7" s="99" t="s">
        <v>115</v>
      </c>
    </row>
    <row r="8" spans="1:6" ht="16.95" customHeight="1">
      <c r="A8" s="120"/>
      <c r="B8" s="120"/>
      <c r="C8" s="54" t="s">
        <v>74</v>
      </c>
      <c r="D8" s="54" t="s">
        <v>74</v>
      </c>
      <c r="E8" s="54" t="s">
        <v>74</v>
      </c>
      <c r="F8" s="95" t="s">
        <v>74</v>
      </c>
    </row>
    <row r="9" spans="1:6" ht="16.95" customHeight="1">
      <c r="A9" s="55">
        <v>1</v>
      </c>
      <c r="B9" s="55">
        <f>A9+1</f>
        <v>2</v>
      </c>
      <c r="C9" s="55">
        <f>IF(C15=0,,B9+1)</f>
        <v>3</v>
      </c>
      <c r="D9" s="55">
        <f>IF(D15=0,,C9+1)</f>
        <v>4</v>
      </c>
      <c r="E9" s="55">
        <f>IF(E15=0,,D9+1)</f>
        <v>5</v>
      </c>
      <c r="F9" s="55">
        <f>IF(F15=0,,E9+1)</f>
        <v>6</v>
      </c>
    </row>
    <row r="10" spans="1:6" ht="34.799999999999997" customHeight="1">
      <c r="A10" s="56" t="s">
        <v>75</v>
      </c>
      <c r="B10" s="57" t="s">
        <v>76</v>
      </c>
      <c r="C10" s="58">
        <f>'Корегування те бюдж'!F37*0.052</f>
        <v>72.645561960919707</v>
      </c>
      <c r="D10" s="58">
        <v>65.7</v>
      </c>
      <c r="E10" s="58">
        <v>34.282990628228553</v>
      </c>
      <c r="F10" s="58">
        <f>C10</f>
        <v>72.645561960919707</v>
      </c>
    </row>
    <row r="11" spans="1:6" ht="33" customHeight="1">
      <c r="A11" s="56" t="s">
        <v>77</v>
      </c>
      <c r="B11" s="57" t="s">
        <v>78</v>
      </c>
      <c r="C11" s="58">
        <v>9.8916599999999999</v>
      </c>
      <c r="D11" s="58">
        <v>9.8956999999999997</v>
      </c>
      <c r="E11" s="58">
        <v>9.8956999999999997</v>
      </c>
      <c r="F11" s="58">
        <v>9.8916599999999999</v>
      </c>
    </row>
    <row r="12" spans="1:6" ht="33" customHeight="1">
      <c r="A12" s="56" t="s">
        <v>79</v>
      </c>
      <c r="B12" s="57" t="s">
        <v>80</v>
      </c>
      <c r="C12" s="58">
        <v>1.1087667473142857</v>
      </c>
      <c r="D12" s="58">
        <v>1.1087667473142853</v>
      </c>
      <c r="E12" s="58">
        <v>0</v>
      </c>
      <c r="F12" s="58">
        <v>1.1087667473142857</v>
      </c>
    </row>
    <row r="13" spans="1:6" ht="22.95" customHeight="1">
      <c r="A13" s="56" t="s">
        <v>81</v>
      </c>
      <c r="B13" s="57" t="s">
        <v>82</v>
      </c>
      <c r="C13" s="58">
        <f>C12-C14</f>
        <v>0.90918873279771428</v>
      </c>
      <c r="D13" s="58">
        <f>D12-D14</f>
        <v>0.90918873279771395</v>
      </c>
      <c r="E13" s="58">
        <f>E12-E14</f>
        <v>0</v>
      </c>
      <c r="F13" s="58">
        <f>F12-F14</f>
        <v>0.90918873279771428</v>
      </c>
    </row>
    <row r="14" spans="1:6" ht="20.399999999999999" customHeight="1">
      <c r="A14" s="56" t="s">
        <v>83</v>
      </c>
      <c r="B14" s="57" t="s">
        <v>84</v>
      </c>
      <c r="C14" s="58">
        <f>C12*0.18</f>
        <v>0.19957801451657142</v>
      </c>
      <c r="D14" s="58">
        <f>D12*0.18</f>
        <v>0.19957801451657134</v>
      </c>
      <c r="E14" s="58">
        <f>E12*0.18</f>
        <v>0</v>
      </c>
      <c r="F14" s="58">
        <f>F12*0.18</f>
        <v>0.19957801451657142</v>
      </c>
    </row>
    <row r="15" spans="1:6" ht="21" customHeight="1">
      <c r="A15" s="56" t="s">
        <v>85</v>
      </c>
      <c r="B15" s="57" t="s">
        <v>86</v>
      </c>
      <c r="C15" s="58">
        <f>C10+C11+C12</f>
        <v>83.645988708234</v>
      </c>
      <c r="D15" s="58">
        <f>D10+D11+D12</f>
        <v>76.704466747314299</v>
      </c>
      <c r="E15" s="58">
        <f>E10+E11+E12</f>
        <v>44.178690628228551</v>
      </c>
      <c r="F15" s="58">
        <f>F10+F11+F12</f>
        <v>83.645988708234</v>
      </c>
    </row>
    <row r="16" spans="1:6" ht="19.95" customHeight="1">
      <c r="A16" s="56" t="s">
        <v>87</v>
      </c>
      <c r="B16" s="57" t="s">
        <v>89</v>
      </c>
      <c r="C16" s="58">
        <f>C15*0.2</f>
        <v>16.7291977416468</v>
      </c>
      <c r="D16" s="58">
        <f t="shared" ref="D16:E16" si="0">D15*0.2</f>
        <v>15.34089334946286</v>
      </c>
      <c r="E16" s="58">
        <f t="shared" si="0"/>
        <v>8.8357381256457099</v>
      </c>
      <c r="F16" s="58">
        <f>F15*0.2</f>
        <v>16.7291977416468</v>
      </c>
    </row>
    <row r="17" spans="1:6" ht="21.6" customHeight="1">
      <c r="A17" s="56" t="s">
        <v>88</v>
      </c>
      <c r="B17" s="93" t="s">
        <v>90</v>
      </c>
      <c r="C17" s="63">
        <f>C15+C16</f>
        <v>100.3751864498808</v>
      </c>
      <c r="D17" s="60">
        <f t="shared" ref="D17:E17" si="1">D15+D16</f>
        <v>92.045360096777159</v>
      </c>
      <c r="E17" s="60">
        <f t="shared" si="1"/>
        <v>53.014428753874263</v>
      </c>
      <c r="F17" s="63">
        <f>F15+F16</f>
        <v>100.3751864498808</v>
      </c>
    </row>
    <row r="18" spans="1:6" ht="49.95" customHeight="1">
      <c r="A18" s="64"/>
      <c r="B18" s="65"/>
      <c r="C18" s="66"/>
      <c r="D18" s="67"/>
      <c r="E18" s="67"/>
    </row>
    <row r="19" spans="1:6" s="62" customFormat="1" ht="16.95" customHeight="1">
      <c r="A19" s="61"/>
      <c r="B19" s="68" t="s">
        <v>91</v>
      </c>
      <c r="C19" s="121" t="s">
        <v>92</v>
      </c>
      <c r="D19" s="121"/>
      <c r="E19" s="121"/>
      <c r="F19" s="121"/>
    </row>
  </sheetData>
  <mergeCells count="8">
    <mergeCell ref="C1:F1"/>
    <mergeCell ref="C2:F2"/>
    <mergeCell ref="C3:F3"/>
    <mergeCell ref="C6:E6"/>
    <mergeCell ref="A7:A8"/>
    <mergeCell ref="B7:B8"/>
    <mergeCell ref="C19:F19"/>
    <mergeCell ref="A4:F5"/>
  </mergeCells>
  <conditionalFormatting sqref="A9:E9">
    <cfRule type="cellIs" dxfId="4" priority="4" operator="equal">
      <formula>0</formula>
    </cfRule>
  </conditionalFormatting>
  <conditionalFormatting sqref="C9:E9">
    <cfRule type="cellIs" dxfId="3" priority="3" operator="equal">
      <formula>0</formula>
    </cfRule>
  </conditionalFormatting>
  <conditionalFormatting sqref="F9">
    <cfRule type="cellIs" dxfId="2" priority="2" operator="equal">
      <formula>0</formula>
    </cfRule>
  </conditionalFormatting>
  <conditionalFormatting sqref="F9">
    <cfRule type="cellIs" dxfId="1" priority="1" operator="equal">
      <formula>0</formula>
    </cfRule>
  </conditionalFormatting>
  <pageMargins left="0.7" right="0.52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59"/>
  <sheetViews>
    <sheetView workbookViewId="0">
      <selection activeCell="E1" sqref="E1"/>
    </sheetView>
  </sheetViews>
  <sheetFormatPr defaultColWidth="8.69921875" defaultRowHeight="13.8"/>
  <cols>
    <col min="1" max="1" width="5" style="34" customWidth="1"/>
    <col min="2" max="2" width="44.3984375" style="15" customWidth="1"/>
    <col min="3" max="3" width="10.3984375" style="14" customWidth="1"/>
    <col min="4" max="4" width="8.69921875" style="14" customWidth="1"/>
    <col min="5" max="6" width="10.09765625" style="14" customWidth="1"/>
    <col min="7" max="7" width="8.69921875" style="14"/>
    <col min="8" max="8" width="15.3984375" style="14" bestFit="1" customWidth="1"/>
    <col min="9" max="16384" width="8.69921875" style="14"/>
  </cols>
  <sheetData>
    <row r="1" spans="1:7" ht="15.6">
      <c r="E1" s="69" t="s">
        <v>108</v>
      </c>
    </row>
    <row r="2" spans="1:7" hidden="1">
      <c r="E2" s="106" t="s">
        <v>96</v>
      </c>
      <c r="F2" s="106"/>
    </row>
    <row r="3" spans="1:7" hidden="1">
      <c r="E3" s="115" t="s">
        <v>97</v>
      </c>
      <c r="F3" s="115"/>
    </row>
    <row r="4" spans="1:7" ht="28.2" customHeight="1">
      <c r="A4" s="117" t="s">
        <v>99</v>
      </c>
      <c r="B4" s="117"/>
      <c r="C4" s="117"/>
      <c r="D4" s="117"/>
      <c r="E4" s="117"/>
      <c r="F4" s="117"/>
    </row>
    <row r="5" spans="1:7" ht="14.4" thickBot="1">
      <c r="A5" s="6"/>
      <c r="E5" s="16" t="s">
        <v>65</v>
      </c>
    </row>
    <row r="6" spans="1:7" ht="14.4" thickBot="1">
      <c r="A6" s="126" t="s">
        <v>0</v>
      </c>
      <c r="B6" s="17" t="s">
        <v>1</v>
      </c>
      <c r="C6" s="112" t="s">
        <v>94</v>
      </c>
      <c r="D6" s="112"/>
      <c r="E6" s="118" t="s">
        <v>105</v>
      </c>
      <c r="F6" s="118"/>
    </row>
    <row r="7" spans="1:7" ht="14.4" customHeight="1" thickBot="1">
      <c r="A7" s="110"/>
      <c r="B7" s="17" t="s">
        <v>2</v>
      </c>
      <c r="C7" s="103">
        <v>42790</v>
      </c>
      <c r="D7" s="104"/>
      <c r="E7" s="103" t="s">
        <v>104</v>
      </c>
      <c r="F7" s="104"/>
    </row>
    <row r="8" spans="1:7" ht="27.6">
      <c r="A8" s="111"/>
      <c r="B8" s="17" t="s">
        <v>3</v>
      </c>
      <c r="C8" s="7" t="s">
        <v>4</v>
      </c>
      <c r="D8" s="18" t="s">
        <v>5</v>
      </c>
      <c r="E8" s="7" t="s">
        <v>4</v>
      </c>
      <c r="F8" s="18" t="s">
        <v>5</v>
      </c>
    </row>
    <row r="9" spans="1:7" s="5" customFormat="1" ht="10.199999999999999">
      <c r="A9" s="1">
        <v>1</v>
      </c>
      <c r="B9" s="2">
        <v>2</v>
      </c>
      <c r="C9" s="3">
        <v>3</v>
      </c>
      <c r="D9" s="4">
        <v>4</v>
      </c>
      <c r="E9" s="3">
        <v>5</v>
      </c>
      <c r="F9" s="4">
        <v>6</v>
      </c>
    </row>
    <row r="10" spans="1:7">
      <c r="A10" s="19">
        <v>1</v>
      </c>
      <c r="B10" s="9" t="s">
        <v>6</v>
      </c>
      <c r="C10" s="10">
        <f>C11+C18+C19+C23</f>
        <v>16278.420000000004</v>
      </c>
      <c r="D10" s="11">
        <f>(C10/C47)*1000</f>
        <v>955.72025912631193</v>
      </c>
      <c r="E10" s="10">
        <f>E11+E18+E19+E23</f>
        <v>23612.671760900004</v>
      </c>
      <c r="F10" s="11">
        <f>(E10/E47)*1000</f>
        <v>1386.3205872555136</v>
      </c>
    </row>
    <row r="11" spans="1:7">
      <c r="A11" s="19" t="s">
        <v>7</v>
      </c>
      <c r="B11" s="9" t="s">
        <v>8</v>
      </c>
      <c r="C11" s="10">
        <f>SUM(C12:C17)</f>
        <v>15508.250000000002</v>
      </c>
      <c r="D11" s="11">
        <f>(C11/C47)*1000</f>
        <v>910.5029056011349</v>
      </c>
      <c r="E11" s="10">
        <f>SUM(E12:E17)</f>
        <v>22842.501760900006</v>
      </c>
      <c r="F11" s="11">
        <f>(E11/E47)*1000</f>
        <v>1341.1032337303368</v>
      </c>
    </row>
    <row r="12" spans="1:7">
      <c r="A12" s="20" t="s">
        <v>9</v>
      </c>
      <c r="B12" s="21" t="s">
        <v>10</v>
      </c>
      <c r="C12" s="22">
        <v>14479.69</v>
      </c>
      <c r="D12" s="23">
        <f>(C12/C47)*1000</f>
        <v>850.11524944488883</v>
      </c>
      <c r="E12" s="22">
        <f>E50*E51/1000</f>
        <v>21813.941760900005</v>
      </c>
      <c r="F12" s="23">
        <f>(E12/E47)*1000</f>
        <v>1280.7155775740905</v>
      </c>
      <c r="G12" s="35"/>
    </row>
    <row r="13" spans="1:7">
      <c r="A13" s="20" t="s">
        <v>11</v>
      </c>
      <c r="B13" s="21" t="s">
        <v>12</v>
      </c>
      <c r="C13" s="22">
        <v>1000.4</v>
      </c>
      <c r="D13" s="23">
        <f>(C13/C47)*1000</f>
        <v>58.734357955499505</v>
      </c>
      <c r="E13" s="22">
        <v>1000.4</v>
      </c>
      <c r="F13" s="23">
        <f>(E13/E47)*1000</f>
        <v>58.734357955499505</v>
      </c>
    </row>
    <row r="14" spans="1:7" ht="41.4">
      <c r="A14" s="20" t="s">
        <v>13</v>
      </c>
      <c r="B14" s="24" t="s">
        <v>14</v>
      </c>
      <c r="C14" s="22"/>
      <c r="D14" s="23"/>
      <c r="E14" s="22"/>
      <c r="F14" s="23"/>
    </row>
    <row r="15" spans="1:7" ht="27.6">
      <c r="A15" s="20" t="s">
        <v>15</v>
      </c>
      <c r="B15" s="24" t="s">
        <v>16</v>
      </c>
      <c r="C15" s="22"/>
      <c r="D15" s="23"/>
      <c r="E15" s="22"/>
      <c r="F15" s="23"/>
    </row>
    <row r="16" spans="1:7">
      <c r="A16" s="20" t="s">
        <v>17</v>
      </c>
      <c r="B16" s="24" t="s">
        <v>18</v>
      </c>
      <c r="C16" s="22">
        <v>13.29</v>
      </c>
      <c r="D16" s="23">
        <f>(C16/C47)*1000</f>
        <v>0.78026751022449869</v>
      </c>
      <c r="E16" s="22">
        <f>C16</f>
        <v>13.29</v>
      </c>
      <c r="F16" s="23">
        <f>(E16/E47)*1000</f>
        <v>0.78026751022449869</v>
      </c>
    </row>
    <row r="17" spans="1:6">
      <c r="A17" s="20" t="s">
        <v>19</v>
      </c>
      <c r="B17" s="24" t="s">
        <v>20</v>
      </c>
      <c r="C17" s="22">
        <v>14.87</v>
      </c>
      <c r="D17" s="23">
        <f>(C17/C47)*1000</f>
        <v>0.87303069052206883</v>
      </c>
      <c r="E17" s="22">
        <v>14.87</v>
      </c>
      <c r="F17" s="23">
        <f>(E17/E47)*1000</f>
        <v>0.87303069052206883</v>
      </c>
    </row>
    <row r="18" spans="1:6">
      <c r="A18" s="19" t="s">
        <v>21</v>
      </c>
      <c r="B18" s="9" t="s">
        <v>22</v>
      </c>
      <c r="C18" s="10">
        <f>517.55/122*100</f>
        <v>424.22131147540983</v>
      </c>
      <c r="D18" s="11">
        <f>(C18/C47)*1000</f>
        <v>24.906403799028563</v>
      </c>
      <c r="E18" s="10">
        <f>517.55/122*100</f>
        <v>424.22131147540983</v>
      </c>
      <c r="F18" s="11">
        <f>(E18/E47)*1000</f>
        <v>24.906403799028563</v>
      </c>
    </row>
    <row r="19" spans="1:6">
      <c r="A19" s="19" t="s">
        <v>23</v>
      </c>
      <c r="B19" s="9" t="s">
        <v>24</v>
      </c>
      <c r="C19" s="10">
        <f>SUM(C20:C22)</f>
        <v>316.32868852459018</v>
      </c>
      <c r="D19" s="11">
        <f>(C19/C47)*1000</f>
        <v>18.571933649937016</v>
      </c>
      <c r="E19" s="10">
        <f>SUM(E20:E22)</f>
        <v>316.32868852459018</v>
      </c>
      <c r="F19" s="11">
        <f>(E19/E47)*1000</f>
        <v>18.571933649937016</v>
      </c>
    </row>
    <row r="20" spans="1:6">
      <c r="A20" s="20" t="s">
        <v>25</v>
      </c>
      <c r="B20" s="21" t="s">
        <v>26</v>
      </c>
      <c r="C20" s="22">
        <f>517.55/122*22</f>
        <v>93.328688524590163</v>
      </c>
      <c r="D20" s="23">
        <f>(C20/C47)*1000</f>
        <v>5.479408835786284</v>
      </c>
      <c r="E20" s="22">
        <f>517.55/122*22</f>
        <v>93.328688524590163</v>
      </c>
      <c r="F20" s="23">
        <f>(E20/E47)*1000</f>
        <v>5.479408835786284</v>
      </c>
    </row>
    <row r="21" spans="1:6">
      <c r="A21" s="20" t="s">
        <v>27</v>
      </c>
      <c r="B21" s="21" t="s">
        <v>28</v>
      </c>
      <c r="C21" s="22">
        <v>52.7</v>
      </c>
      <c r="D21" s="23">
        <f>(C21/C47)*1000</f>
        <v>3.0940630390392085</v>
      </c>
      <c r="E21" s="22">
        <v>52.7</v>
      </c>
      <c r="F21" s="23">
        <f>(E21/E47)*1000</f>
        <v>3.0940630390392085</v>
      </c>
    </row>
    <row r="22" spans="1:6">
      <c r="A22" s="20" t="s">
        <v>29</v>
      </c>
      <c r="B22" s="21" t="s">
        <v>30</v>
      </c>
      <c r="C22" s="22">
        <v>170.3</v>
      </c>
      <c r="D22" s="23">
        <f>(C22/C47)*1000</f>
        <v>9.9984617751115223</v>
      </c>
      <c r="E22" s="22">
        <v>170.3</v>
      </c>
      <c r="F22" s="23">
        <f>(E22/E47)*1000</f>
        <v>9.9984617751115223</v>
      </c>
    </row>
    <row r="23" spans="1:6">
      <c r="A23" s="19" t="s">
        <v>31</v>
      </c>
      <c r="B23" s="9" t="s">
        <v>32</v>
      </c>
      <c r="C23" s="10">
        <f>SUM(C24:C26)</f>
        <v>29.619999999999997</v>
      </c>
      <c r="D23" s="11">
        <f>(C23/C47)*1000</f>
        <v>1.7390160762114109</v>
      </c>
      <c r="E23" s="10">
        <f>SUM(E24:E26)</f>
        <v>29.619999999999997</v>
      </c>
      <c r="F23" s="11">
        <f>(E23/E47)*1000</f>
        <v>1.7390160762114109</v>
      </c>
    </row>
    <row r="24" spans="1:6">
      <c r="A24" s="20" t="s">
        <v>33</v>
      </c>
      <c r="B24" s="21" t="s">
        <v>34</v>
      </c>
      <c r="C24" s="22">
        <f>16.72/122*100</f>
        <v>13.704918032786884</v>
      </c>
      <c r="D24" s="23">
        <f>(C24/C47)*1000</f>
        <v>0.80462771040432324</v>
      </c>
      <c r="E24" s="22">
        <f>16.72/122*100</f>
        <v>13.704918032786884</v>
      </c>
      <c r="F24" s="23">
        <f>(E24/E47)*1000</f>
        <v>0.80462771040432324</v>
      </c>
    </row>
    <row r="25" spans="1:6">
      <c r="A25" s="20" t="s">
        <v>35</v>
      </c>
      <c r="B25" s="21" t="s">
        <v>26</v>
      </c>
      <c r="C25" s="22">
        <f>16.72/122*22</f>
        <v>3.0150819672131144</v>
      </c>
      <c r="D25" s="23">
        <f>(C25/C47)*1000</f>
        <v>0.17701809628895113</v>
      </c>
      <c r="E25" s="22">
        <f>16.72/122*22</f>
        <v>3.0150819672131144</v>
      </c>
      <c r="F25" s="23">
        <f>(E25/E47)*1000</f>
        <v>0.17701809628895113</v>
      </c>
    </row>
    <row r="26" spans="1:6">
      <c r="A26" s="20" t="s">
        <v>36</v>
      </c>
      <c r="B26" s="21" t="s">
        <v>37</v>
      </c>
      <c r="C26" s="22">
        <v>12.9</v>
      </c>
      <c r="D26" s="23">
        <f>(C26/C47)*1000</f>
        <v>0.75737026951813646</v>
      </c>
      <c r="E26" s="22">
        <v>12.9</v>
      </c>
      <c r="F26" s="23">
        <f>(E26/E47)*1000</f>
        <v>0.75737026951813646</v>
      </c>
    </row>
    <row r="27" spans="1:6">
      <c r="A27" s="19" t="s">
        <v>38</v>
      </c>
      <c r="B27" s="9" t="s">
        <v>39</v>
      </c>
      <c r="C27" s="10">
        <f>SUM(C28:C30)</f>
        <v>182.42000000000002</v>
      </c>
      <c r="D27" s="11">
        <f>(C27/C47)*1000</f>
        <v>10.710037563216936</v>
      </c>
      <c r="E27" s="10">
        <f>SUM(E28:E30)</f>
        <v>182.42000000000002</v>
      </c>
      <c r="F27" s="11">
        <f>(E27/E47)*1000</f>
        <v>10.710037563216936</v>
      </c>
    </row>
    <row r="28" spans="1:6">
      <c r="A28" s="20" t="s">
        <v>40</v>
      </c>
      <c r="B28" s="21" t="s">
        <v>34</v>
      </c>
      <c r="C28" s="22">
        <f>154.78/122*100</f>
        <v>126.8688524590164</v>
      </c>
      <c r="D28" s="23">
        <f>(C28/C47)*1000</f>
        <v>7.4485811612668158</v>
      </c>
      <c r="E28" s="22">
        <f>154.78/122*100</f>
        <v>126.8688524590164</v>
      </c>
      <c r="F28" s="23">
        <f>(E28/E47)*1000</f>
        <v>7.4485811612668158</v>
      </c>
    </row>
    <row r="29" spans="1:6">
      <c r="A29" s="20" t="s">
        <v>41</v>
      </c>
      <c r="B29" s="21" t="s">
        <v>26</v>
      </c>
      <c r="C29" s="22">
        <f>154.78/122*22</f>
        <v>27.91114754098361</v>
      </c>
      <c r="D29" s="23">
        <f>(C29/C47)*1000</f>
        <v>1.6386878554786999</v>
      </c>
      <c r="E29" s="22">
        <f>154.78/122*22</f>
        <v>27.91114754098361</v>
      </c>
      <c r="F29" s="23">
        <f>(E29/E47)*1000</f>
        <v>1.6386878554786999</v>
      </c>
    </row>
    <row r="30" spans="1:6">
      <c r="A30" s="20" t="s">
        <v>42</v>
      </c>
      <c r="B30" s="21" t="s">
        <v>37</v>
      </c>
      <c r="C30" s="22">
        <v>27.64</v>
      </c>
      <c r="D30" s="23">
        <f>(C30/C47)*1000</f>
        <v>1.6227685464714179</v>
      </c>
      <c r="E30" s="22">
        <v>27.64</v>
      </c>
      <c r="F30" s="23">
        <f>(E30/E47)*1000</f>
        <v>1.6227685464714179</v>
      </c>
    </row>
    <row r="31" spans="1:6" hidden="1">
      <c r="A31" s="19"/>
      <c r="B31" s="9" t="s">
        <v>43</v>
      </c>
      <c r="C31" s="10">
        <v>0</v>
      </c>
      <c r="D31" s="11">
        <f>(C31/C47)*1000</f>
        <v>0</v>
      </c>
      <c r="E31" s="10">
        <v>0</v>
      </c>
      <c r="F31" s="11">
        <f>(E31/E47)*1000</f>
        <v>0</v>
      </c>
    </row>
    <row r="32" spans="1:6" hidden="1">
      <c r="A32" s="20"/>
      <c r="B32" s="21" t="s">
        <v>34</v>
      </c>
      <c r="C32" s="22">
        <v>0</v>
      </c>
      <c r="D32" s="23">
        <f>(C32/C47)*1000</f>
        <v>0</v>
      </c>
      <c r="E32" s="22">
        <v>0</v>
      </c>
      <c r="F32" s="23">
        <f>(E32/E47)*1000</f>
        <v>0</v>
      </c>
    </row>
    <row r="33" spans="1:6" hidden="1">
      <c r="A33" s="20"/>
      <c r="B33" s="21" t="s">
        <v>26</v>
      </c>
      <c r="C33" s="22">
        <v>0</v>
      </c>
      <c r="D33" s="23">
        <f>(C33/C47)*1000</f>
        <v>0</v>
      </c>
      <c r="E33" s="22">
        <v>0</v>
      </c>
      <c r="F33" s="23">
        <f>(E33/E47)*1000</f>
        <v>0</v>
      </c>
    </row>
    <row r="34" spans="1:6" hidden="1">
      <c r="A34" s="20"/>
      <c r="B34" s="21" t="s">
        <v>37</v>
      </c>
      <c r="C34" s="22">
        <v>0</v>
      </c>
      <c r="D34" s="23">
        <f>(C34/C47)*1000</f>
        <v>0</v>
      </c>
      <c r="E34" s="22">
        <v>0</v>
      </c>
      <c r="F34" s="23">
        <f>(E34/E47)*1000</f>
        <v>0</v>
      </c>
    </row>
    <row r="35" spans="1:6">
      <c r="A35" s="19">
        <v>3</v>
      </c>
      <c r="B35" s="9" t="s">
        <v>44</v>
      </c>
      <c r="C35" s="10">
        <v>0</v>
      </c>
      <c r="D35" s="11">
        <f>(C35/C47)*1000</f>
        <v>0</v>
      </c>
      <c r="E35" s="10">
        <v>0</v>
      </c>
      <c r="F35" s="11">
        <f>(E35/E47)*1000</f>
        <v>0</v>
      </c>
    </row>
    <row r="36" spans="1:6">
      <c r="A36" s="19">
        <v>4</v>
      </c>
      <c r="B36" s="9" t="s">
        <v>45</v>
      </c>
      <c r="C36" s="10">
        <v>0</v>
      </c>
      <c r="D36" s="11">
        <f>(C36/C47)*1000</f>
        <v>0</v>
      </c>
      <c r="E36" s="10">
        <v>0</v>
      </c>
      <c r="F36" s="11">
        <f>(E36/E47)*1000</f>
        <v>0</v>
      </c>
    </row>
    <row r="37" spans="1:6">
      <c r="A37" s="19">
        <v>5</v>
      </c>
      <c r="B37" s="9" t="s">
        <v>46</v>
      </c>
      <c r="C37" s="10">
        <f>C10+C27+C31+C35+C36-0.01</f>
        <v>16460.830000000005</v>
      </c>
      <c r="D37" s="11">
        <f>(C37/C47)*1000</f>
        <v>966.42970958079297</v>
      </c>
      <c r="E37" s="10">
        <f>E10+E27+E31+E35+E36-0.01</f>
        <v>23795.081760900004</v>
      </c>
      <c r="F37" s="11">
        <f>(E37/E47)*1000</f>
        <v>1397.0300377099945</v>
      </c>
    </row>
    <row r="38" spans="1:6">
      <c r="A38" s="19">
        <v>6</v>
      </c>
      <c r="B38" s="9" t="s">
        <v>47</v>
      </c>
      <c r="C38" s="10">
        <v>1250.07</v>
      </c>
      <c r="D38" s="11">
        <f>C38/C47*1000</f>
        <v>73.392701768723782</v>
      </c>
      <c r="E38" s="10">
        <v>0</v>
      </c>
      <c r="F38" s="11">
        <f>E38/E47*1000</f>
        <v>0</v>
      </c>
    </row>
    <row r="39" spans="1:6">
      <c r="A39" s="19">
        <v>7</v>
      </c>
      <c r="B39" s="9" t="s">
        <v>48</v>
      </c>
      <c r="C39" s="10">
        <f t="shared" ref="C39:F39" si="0">SUM(C40:C44)</f>
        <v>391.5</v>
      </c>
      <c r="D39" s="51">
        <f t="shared" si="0"/>
        <v>22.985307016771351</v>
      </c>
      <c r="E39" s="10">
        <f t="shared" si="0"/>
        <v>391.5</v>
      </c>
      <c r="F39" s="45">
        <f t="shared" si="0"/>
        <v>22.985307016771351</v>
      </c>
    </row>
    <row r="40" spans="1:6">
      <c r="A40" s="20" t="s">
        <v>49</v>
      </c>
      <c r="B40" s="21" t="s">
        <v>50</v>
      </c>
      <c r="C40" s="22">
        <v>70.47</v>
      </c>
      <c r="D40" s="23">
        <f>(C40/C47)*1000</f>
        <v>4.1373552630188426</v>
      </c>
      <c r="E40" s="22">
        <v>70.47</v>
      </c>
      <c r="F40" s="23">
        <f>(E40/E47)*1000</f>
        <v>4.1373552630188426</v>
      </c>
    </row>
    <row r="41" spans="1:6">
      <c r="A41" s="20" t="s">
        <v>51</v>
      </c>
      <c r="B41" s="21" t="s">
        <v>52</v>
      </c>
      <c r="C41" s="22">
        <v>0</v>
      </c>
      <c r="D41" s="23">
        <f>(C41/C47)*1000</f>
        <v>0</v>
      </c>
      <c r="E41" s="22">
        <v>0</v>
      </c>
      <c r="F41" s="23">
        <f>(E41/E47)*1000</f>
        <v>0</v>
      </c>
    </row>
    <row r="42" spans="1:6">
      <c r="A42" s="20" t="s">
        <v>53</v>
      </c>
      <c r="B42" s="21" t="s">
        <v>54</v>
      </c>
      <c r="C42" s="22">
        <v>0</v>
      </c>
      <c r="D42" s="23">
        <f>(C42/C47)*1000</f>
        <v>0</v>
      </c>
      <c r="E42" s="22">
        <v>0</v>
      </c>
      <c r="F42" s="23">
        <f>(E42/E47)*1000</f>
        <v>0</v>
      </c>
    </row>
    <row r="43" spans="1:6">
      <c r="A43" s="20" t="s">
        <v>55</v>
      </c>
      <c r="B43" s="24" t="s">
        <v>56</v>
      </c>
      <c r="C43" s="22">
        <v>321.02999999999997</v>
      </c>
      <c r="D43" s="23">
        <f>(C43/C47)*1000</f>
        <v>18.847951753752508</v>
      </c>
      <c r="E43" s="22">
        <v>321.02999999999997</v>
      </c>
      <c r="F43" s="23">
        <f>(E43/E47)*1000</f>
        <v>18.847951753752508</v>
      </c>
    </row>
    <row r="44" spans="1:6">
      <c r="A44" s="20" t="s">
        <v>57</v>
      </c>
      <c r="B44" s="21" t="s">
        <v>58</v>
      </c>
      <c r="C44" s="22">
        <v>0</v>
      </c>
      <c r="D44" s="23">
        <f>(C44/C47)*1000</f>
        <v>0</v>
      </c>
      <c r="E44" s="22">
        <v>0</v>
      </c>
      <c r="F44" s="23">
        <f>(E44/E47)*1000</f>
        <v>0</v>
      </c>
    </row>
    <row r="45" spans="1:6" ht="27.6">
      <c r="A45" s="19">
        <v>8</v>
      </c>
      <c r="B45" s="13" t="s">
        <v>59</v>
      </c>
      <c r="C45" s="10">
        <f t="shared" ref="C45:F45" si="1">C37+C39+C38</f>
        <v>18102.400000000005</v>
      </c>
      <c r="D45" s="11">
        <f t="shared" si="1"/>
        <v>1062.8077183662881</v>
      </c>
      <c r="E45" s="10">
        <f t="shared" si="1"/>
        <v>24186.581760900004</v>
      </c>
      <c r="F45" s="11">
        <f t="shared" si="1"/>
        <v>1420.015344726766</v>
      </c>
    </row>
    <row r="46" spans="1:6">
      <c r="A46" s="19">
        <v>9</v>
      </c>
      <c r="B46" s="13" t="s">
        <v>60</v>
      </c>
      <c r="C46" s="10"/>
      <c r="D46" s="11">
        <f>D45</f>
        <v>1062.8077183662881</v>
      </c>
      <c r="E46" s="10"/>
      <c r="F46" s="11">
        <f>F45</f>
        <v>1420.015344726766</v>
      </c>
    </row>
    <row r="47" spans="1:6">
      <c r="A47" s="25">
        <v>10</v>
      </c>
      <c r="B47" s="21" t="s">
        <v>61</v>
      </c>
      <c r="C47" s="22">
        <v>17032.62</v>
      </c>
      <c r="D47" s="23"/>
      <c r="E47" s="22">
        <v>17032.62</v>
      </c>
      <c r="F47" s="23"/>
    </row>
    <row r="48" spans="1:6" ht="14.4" thickBot="1">
      <c r="A48" s="26">
        <v>11</v>
      </c>
      <c r="B48" s="27" t="s">
        <v>62</v>
      </c>
      <c r="C48" s="28">
        <f t="shared" ref="C48:F48" si="2">C39/C37*100</f>
        <v>2.3783733870041783</v>
      </c>
      <c r="D48" s="28">
        <f t="shared" si="2"/>
        <v>2.3783733870041783</v>
      </c>
      <c r="E48" s="28">
        <f t="shared" si="2"/>
        <v>1.6452979818851114</v>
      </c>
      <c r="F48" s="28">
        <f t="shared" si="2"/>
        <v>1.6452979818851114</v>
      </c>
    </row>
    <row r="49" spans="1:7">
      <c r="A49" s="29"/>
      <c r="B49" s="30"/>
      <c r="C49" s="31"/>
      <c r="D49" s="32"/>
      <c r="E49" s="31"/>
      <c r="F49" s="32"/>
    </row>
    <row r="50" spans="1:7" s="33" customFormat="1">
      <c r="A50" s="36"/>
      <c r="B50" s="37" t="s">
        <v>67</v>
      </c>
      <c r="C50" s="38">
        <v>2524.79</v>
      </c>
      <c r="D50" s="39"/>
      <c r="E50" s="38">
        <v>2524.7910000000002</v>
      </c>
      <c r="F50" s="39"/>
    </row>
    <row r="51" spans="1:7" s="43" customFormat="1">
      <c r="A51" s="40"/>
      <c r="B51" s="41" t="s">
        <v>66</v>
      </c>
      <c r="C51" s="42">
        <f>C12/C50*1000</f>
        <v>5735.0076640037396</v>
      </c>
      <c r="D51" s="42"/>
      <c r="E51" s="42">
        <v>8639.9000000000015</v>
      </c>
      <c r="F51" s="42"/>
    </row>
    <row r="52" spans="1:7">
      <c r="C52" s="15"/>
      <c r="D52" s="15"/>
      <c r="E52" s="15"/>
      <c r="F52" s="15"/>
    </row>
    <row r="53" spans="1:7">
      <c r="A53" s="87"/>
      <c r="B53" s="88" t="s">
        <v>106</v>
      </c>
      <c r="C53" s="89"/>
      <c r="D53" s="90" t="s">
        <v>107</v>
      </c>
      <c r="E53" s="90"/>
      <c r="F53" s="91"/>
      <c r="G53" s="92"/>
    </row>
    <row r="54" spans="1:7">
      <c r="C54" s="15"/>
      <c r="D54" s="15"/>
      <c r="E54" s="15"/>
      <c r="F54" s="15"/>
    </row>
    <row r="55" spans="1:7">
      <c r="B55" s="15" t="s">
        <v>69</v>
      </c>
      <c r="C55" s="15"/>
      <c r="D55" s="15" t="s">
        <v>68</v>
      </c>
      <c r="E55" s="15"/>
      <c r="F55" s="15"/>
    </row>
    <row r="56" spans="1:7">
      <c r="C56" s="15"/>
      <c r="D56" s="15"/>
      <c r="E56" s="15"/>
      <c r="F56" s="15"/>
    </row>
    <row r="57" spans="1:7">
      <c r="F57" s="14">
        <f>F46*1.2</f>
        <v>1704.0184136721191</v>
      </c>
    </row>
    <row r="58" spans="1:7">
      <c r="F58" s="35">
        <f>F46</f>
        <v>1420.015344726766</v>
      </c>
      <c r="G58" s="35">
        <f>D46-'розрахунок вироб'!D46</f>
        <v>37.926050132040928</v>
      </c>
    </row>
    <row r="59" spans="1:7">
      <c r="F59" s="35">
        <f>F58*0.2</f>
        <v>284.00306894535322</v>
      </c>
    </row>
  </sheetData>
  <mergeCells count="8">
    <mergeCell ref="E2:F2"/>
    <mergeCell ref="E3:F3"/>
    <mergeCell ref="A4:F4"/>
    <mergeCell ref="A6:A8"/>
    <mergeCell ref="C6:D6"/>
    <mergeCell ref="E6:F6"/>
    <mergeCell ref="C7:D7"/>
    <mergeCell ref="E7:F7"/>
  </mergeCells>
  <pageMargins left="0.7" right="0.11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60"/>
  <sheetViews>
    <sheetView workbookViewId="0">
      <selection activeCell="B25" sqref="B25"/>
    </sheetView>
  </sheetViews>
  <sheetFormatPr defaultColWidth="8.69921875" defaultRowHeight="13.8"/>
  <cols>
    <col min="1" max="1" width="5" style="34" customWidth="1"/>
    <col min="2" max="2" width="44.19921875" style="15" customWidth="1"/>
    <col min="3" max="3" width="9.19921875" style="14" customWidth="1"/>
    <col min="4" max="4" width="8.3984375" style="14" customWidth="1"/>
    <col min="5" max="5" width="9.5" style="14" customWidth="1"/>
    <col min="6" max="6" width="8.19921875" style="14" customWidth="1"/>
    <col min="7" max="7" width="8.69921875" style="14"/>
    <col min="8" max="8" width="15.3984375" style="14" bestFit="1" customWidth="1"/>
    <col min="9" max="16384" width="8.69921875" style="14"/>
  </cols>
  <sheetData>
    <row r="1" spans="1:7" ht="15.6">
      <c r="E1" s="69" t="s">
        <v>98</v>
      </c>
    </row>
    <row r="2" spans="1:7" hidden="1">
      <c r="E2" s="106" t="s">
        <v>96</v>
      </c>
      <c r="F2" s="106"/>
    </row>
    <row r="3" spans="1:7" hidden="1">
      <c r="E3" s="115" t="s">
        <v>97</v>
      </c>
      <c r="F3" s="115"/>
    </row>
    <row r="4" spans="1:7" ht="27" customHeight="1">
      <c r="A4" s="117" t="s">
        <v>100</v>
      </c>
      <c r="B4" s="117"/>
      <c r="C4" s="117"/>
      <c r="D4" s="117"/>
      <c r="E4" s="117"/>
      <c r="F4" s="117"/>
    </row>
    <row r="5" spans="1:7">
      <c r="A5" s="6"/>
      <c r="E5" s="16"/>
      <c r="F5" s="16" t="s">
        <v>65</v>
      </c>
    </row>
    <row r="6" spans="1:7">
      <c r="A6" s="47" t="s">
        <v>0</v>
      </c>
      <c r="B6" s="46" t="s">
        <v>1</v>
      </c>
      <c r="C6" s="112" t="s">
        <v>94</v>
      </c>
      <c r="D6" s="112"/>
      <c r="E6" s="118" t="s">
        <v>105</v>
      </c>
      <c r="F6" s="118"/>
    </row>
    <row r="7" spans="1:7">
      <c r="A7" s="48"/>
      <c r="B7" s="46" t="s">
        <v>2</v>
      </c>
      <c r="C7" s="103">
        <v>42790</v>
      </c>
      <c r="D7" s="104"/>
      <c r="E7" s="103" t="s">
        <v>104</v>
      </c>
      <c r="F7" s="104"/>
    </row>
    <row r="8" spans="1:7" ht="27.6">
      <c r="A8" s="49" t="s">
        <v>93</v>
      </c>
      <c r="B8" s="46" t="s">
        <v>3</v>
      </c>
      <c r="C8" s="18" t="s">
        <v>4</v>
      </c>
      <c r="D8" s="18" t="s">
        <v>5</v>
      </c>
      <c r="E8" s="18" t="s">
        <v>4</v>
      </c>
      <c r="F8" s="18" t="s">
        <v>5</v>
      </c>
    </row>
    <row r="9" spans="1:7" s="5" customFormat="1" ht="10.199999999999999">
      <c r="A9" s="1">
        <v>1</v>
      </c>
      <c r="B9" s="2">
        <v>2</v>
      </c>
      <c r="C9" s="3">
        <v>3</v>
      </c>
      <c r="D9" s="4">
        <v>4</v>
      </c>
      <c r="E9" s="3">
        <v>5</v>
      </c>
      <c r="F9" s="4">
        <v>6</v>
      </c>
    </row>
    <row r="10" spans="1:7">
      <c r="A10" s="19">
        <v>1</v>
      </c>
      <c r="B10" s="9" t="s">
        <v>6</v>
      </c>
      <c r="C10" s="10">
        <f>C11+C18+C19+C23</f>
        <v>15651.630000000001</v>
      </c>
      <c r="D10" s="11">
        <f>(C10/C47)*1000</f>
        <v>918.92087065877138</v>
      </c>
      <c r="E10" s="10">
        <f>E11+E18+E19+E23</f>
        <v>22985.881760900003</v>
      </c>
      <c r="F10" s="11">
        <f>(E10/E47)*1000</f>
        <v>1349.5211987879729</v>
      </c>
    </row>
    <row r="11" spans="1:7">
      <c r="A11" s="19" t="s">
        <v>7</v>
      </c>
      <c r="B11" s="9" t="s">
        <v>8</v>
      </c>
      <c r="C11" s="10">
        <f>SUM(C12:C17)</f>
        <v>15361.11</v>
      </c>
      <c r="D11" s="11">
        <f>(C11/C47)*1000</f>
        <v>901.86418765873964</v>
      </c>
      <c r="E11" s="10">
        <f>SUM(E12:E17)</f>
        <v>22695.361760900007</v>
      </c>
      <c r="F11" s="11">
        <f>(E11/E47)*1000</f>
        <v>1332.4645157879415</v>
      </c>
    </row>
    <row r="12" spans="1:7">
      <c r="A12" s="20" t="s">
        <v>9</v>
      </c>
      <c r="B12" s="21" t="s">
        <v>10</v>
      </c>
      <c r="C12" s="22">
        <v>14479.69</v>
      </c>
      <c r="D12" s="23">
        <f>(C12/C47)*1000</f>
        <v>850.11524944488883</v>
      </c>
      <c r="E12" s="22">
        <f>'Корегування те бюдж'!E12</f>
        <v>21813.941760900005</v>
      </c>
      <c r="F12" s="23">
        <f>(E12/E47)*1000</f>
        <v>1280.7155775740905</v>
      </c>
      <c r="G12" s="35"/>
    </row>
    <row r="13" spans="1:7">
      <c r="A13" s="20" t="s">
        <v>11</v>
      </c>
      <c r="B13" s="21" t="s">
        <v>12</v>
      </c>
      <c r="C13" s="22">
        <v>872.91</v>
      </c>
      <c r="D13" s="23">
        <f>(C13/C47)*1000</f>
        <v>51.24930867946329</v>
      </c>
      <c r="E13" s="22">
        <v>872.91</v>
      </c>
      <c r="F13" s="23">
        <f>(E13/E47)*1000</f>
        <v>51.24930867946329</v>
      </c>
    </row>
    <row r="14" spans="1:7" ht="41.4">
      <c r="A14" s="20" t="s">
        <v>13</v>
      </c>
      <c r="B14" s="24" t="s">
        <v>14</v>
      </c>
      <c r="C14" s="22"/>
      <c r="D14" s="23"/>
      <c r="E14" s="22"/>
      <c r="F14" s="23"/>
    </row>
    <row r="15" spans="1:7" ht="27.6">
      <c r="A15" s="20" t="s">
        <v>15</v>
      </c>
      <c r="B15" s="24" t="s">
        <v>16</v>
      </c>
      <c r="C15" s="22"/>
      <c r="D15" s="23"/>
      <c r="E15" s="22"/>
      <c r="F15" s="23"/>
    </row>
    <row r="16" spans="1:7">
      <c r="A16" s="20" t="s">
        <v>17</v>
      </c>
      <c r="B16" s="24" t="s">
        <v>18</v>
      </c>
      <c r="C16" s="22">
        <v>0.68</v>
      </c>
      <c r="D16" s="23">
        <f>(C16/C47)*1000</f>
        <v>3.9923394052118817E-2</v>
      </c>
      <c r="E16" s="22">
        <v>0.68</v>
      </c>
      <c r="F16" s="23">
        <f>(E16/E47)*1000</f>
        <v>3.9923394052118817E-2</v>
      </c>
    </row>
    <row r="17" spans="1:6">
      <c r="A17" s="20" t="s">
        <v>19</v>
      </c>
      <c r="B17" s="24" t="s">
        <v>20</v>
      </c>
      <c r="C17" s="22">
        <v>7.83</v>
      </c>
      <c r="D17" s="23">
        <f>(C17/C47)*1000</f>
        <v>0.45970614033542695</v>
      </c>
      <c r="E17" s="22">
        <v>7.83</v>
      </c>
      <c r="F17" s="23">
        <f>(E17/E47)*1000</f>
        <v>0.45970614033542695</v>
      </c>
    </row>
    <row r="18" spans="1:6">
      <c r="A18" s="19" t="s">
        <v>21</v>
      </c>
      <c r="B18" s="9" t="s">
        <v>22</v>
      </c>
      <c r="C18" s="10">
        <f>192.25/122*100</f>
        <v>157.58196721311475</v>
      </c>
      <c r="D18" s="11">
        <f>(C18/C47)*1000</f>
        <v>9.2517749596430114</v>
      </c>
      <c r="E18" s="10">
        <f>192.25/122*100</f>
        <v>157.58196721311475</v>
      </c>
      <c r="F18" s="11">
        <f>(E18/E47)*1000</f>
        <v>9.2517749596430114</v>
      </c>
    </row>
    <row r="19" spans="1:6">
      <c r="A19" s="19" t="s">
        <v>23</v>
      </c>
      <c r="B19" s="9" t="s">
        <v>24</v>
      </c>
      <c r="C19" s="10">
        <f>SUM(C20:C22)</f>
        <v>106.42803278688524</v>
      </c>
      <c r="D19" s="11">
        <f>(C19/C47)*1000</f>
        <v>6.2484827810921182</v>
      </c>
      <c r="E19" s="10">
        <f>SUM(E20:E22)</f>
        <v>106.42803278688524</v>
      </c>
      <c r="F19" s="11">
        <f>(E19/E47)*1000</f>
        <v>6.2484827810921182</v>
      </c>
    </row>
    <row r="20" spans="1:6">
      <c r="A20" s="20" t="s">
        <v>25</v>
      </c>
      <c r="B20" s="21" t="s">
        <v>26</v>
      </c>
      <c r="C20" s="22">
        <f>192.25/122*22</f>
        <v>34.668032786885242</v>
      </c>
      <c r="D20" s="23">
        <f>(C20/C47)*1000</f>
        <v>2.0353904911214622</v>
      </c>
      <c r="E20" s="22">
        <f>192.25/122*22</f>
        <v>34.668032786885242</v>
      </c>
      <c r="F20" s="23">
        <f>(E20/E47)*1000</f>
        <v>2.0353904911214622</v>
      </c>
    </row>
    <row r="21" spans="1:6">
      <c r="A21" s="20" t="s">
        <v>27</v>
      </c>
      <c r="B21" s="21" t="s">
        <v>28</v>
      </c>
      <c r="C21" s="22">
        <v>15.43</v>
      </c>
      <c r="D21" s="23">
        <f>(C21/C47)*1000</f>
        <v>0.90590877974146078</v>
      </c>
      <c r="E21" s="22">
        <v>15.43</v>
      </c>
      <c r="F21" s="23">
        <f>(E21/E47)*1000</f>
        <v>0.90590877974146078</v>
      </c>
    </row>
    <row r="22" spans="1:6">
      <c r="A22" s="20" t="s">
        <v>29</v>
      </c>
      <c r="B22" s="21" t="s">
        <v>30</v>
      </c>
      <c r="C22" s="22">
        <v>56.33</v>
      </c>
      <c r="D22" s="23">
        <f>(C22/C47)*1000</f>
        <v>3.3071835102291955</v>
      </c>
      <c r="E22" s="22">
        <v>56.33</v>
      </c>
      <c r="F22" s="23">
        <f>(E22/E47)*1000</f>
        <v>3.3071835102291955</v>
      </c>
    </row>
    <row r="23" spans="1:6">
      <c r="A23" s="19" t="s">
        <v>31</v>
      </c>
      <c r="B23" s="9" t="s">
        <v>32</v>
      </c>
      <c r="C23" s="10">
        <f>SUM(C24:C26)</f>
        <v>26.510000000000005</v>
      </c>
      <c r="D23" s="11">
        <f>(C23/C47)*1000</f>
        <v>1.5564252592965737</v>
      </c>
      <c r="E23" s="10">
        <f>SUM(E24:E26)</f>
        <v>26.510000000000005</v>
      </c>
      <c r="F23" s="11">
        <f>(E23/E47)*1000</f>
        <v>1.5564252592965737</v>
      </c>
    </row>
    <row r="24" spans="1:6">
      <c r="A24" s="20" t="s">
        <v>33</v>
      </c>
      <c r="B24" s="21" t="s">
        <v>34</v>
      </c>
      <c r="C24" s="22">
        <f>14.96/122*100</f>
        <v>12.262295081967215</v>
      </c>
      <c r="D24" s="23">
        <f>(C24/C47)*1000</f>
        <v>0.7199300566775525</v>
      </c>
      <c r="E24" s="22">
        <f>14.96/122*100</f>
        <v>12.262295081967215</v>
      </c>
      <c r="F24" s="23">
        <f>(E24/E47)*1000</f>
        <v>0.7199300566775525</v>
      </c>
    </row>
    <row r="25" spans="1:6">
      <c r="A25" s="20" t="s">
        <v>35</v>
      </c>
      <c r="B25" s="21" t="s">
        <v>26</v>
      </c>
      <c r="C25" s="22">
        <f>14.96/122*22</f>
        <v>2.697704918032787</v>
      </c>
      <c r="D25" s="23">
        <f>(C25/C47)*1000</f>
        <v>0.15838461246906155</v>
      </c>
      <c r="E25" s="22">
        <f>14.96/122*22</f>
        <v>2.697704918032787</v>
      </c>
      <c r="F25" s="23">
        <f>(E25/E47)*1000</f>
        <v>0.15838461246906155</v>
      </c>
    </row>
    <row r="26" spans="1:6">
      <c r="A26" s="20" t="s">
        <v>36</v>
      </c>
      <c r="B26" s="21" t="s">
        <v>37</v>
      </c>
      <c r="C26" s="22">
        <v>11.55</v>
      </c>
      <c r="D26" s="23">
        <f>(C26/C47)*1000</f>
        <v>0.67811059014995934</v>
      </c>
      <c r="E26" s="22">
        <v>11.55</v>
      </c>
      <c r="F26" s="23">
        <f>(E26/E47)*1000</f>
        <v>0.67811059014995934</v>
      </c>
    </row>
    <row r="27" spans="1:6">
      <c r="A27" s="19" t="s">
        <v>38</v>
      </c>
      <c r="B27" s="9" t="s">
        <v>39</v>
      </c>
      <c r="C27" s="10">
        <f>SUM(C28:C30)</f>
        <v>163.23000000000002</v>
      </c>
      <c r="D27" s="11">
        <f>(C27/C47)*1000</f>
        <v>9.5833758987166995</v>
      </c>
      <c r="E27" s="10">
        <f>SUM(E28:E30)</f>
        <v>163.23000000000002</v>
      </c>
      <c r="F27" s="11">
        <f>(E27/E47)*1000</f>
        <v>9.5833758987166995</v>
      </c>
    </row>
    <row r="28" spans="1:6">
      <c r="A28" s="20" t="s">
        <v>40</v>
      </c>
      <c r="B28" s="21" t="s">
        <v>34</v>
      </c>
      <c r="C28" s="22">
        <f>138.49/122*100</f>
        <v>113.51639344262297</v>
      </c>
      <c r="D28" s="23">
        <f>(C28/C47)*1000</f>
        <v>6.6646466276252845</v>
      </c>
      <c r="E28" s="22">
        <f>138.49/122*100</f>
        <v>113.51639344262297</v>
      </c>
      <c r="F28" s="23">
        <f>(E28/E47)*1000</f>
        <v>6.6646466276252845</v>
      </c>
    </row>
    <row r="29" spans="1:6">
      <c r="A29" s="20" t="s">
        <v>41</v>
      </c>
      <c r="B29" s="21" t="s">
        <v>26</v>
      </c>
      <c r="C29" s="22">
        <f>138.49/122*22</f>
        <v>24.973606557377053</v>
      </c>
      <c r="D29" s="23">
        <f>(C29/C47)*1000</f>
        <v>1.4662222580775626</v>
      </c>
      <c r="E29" s="22">
        <f>138.49/122*22</f>
        <v>24.973606557377053</v>
      </c>
      <c r="F29" s="23">
        <f>(E29/E47)*1000</f>
        <v>1.4662222580775626</v>
      </c>
    </row>
    <row r="30" spans="1:6">
      <c r="A30" s="20" t="s">
        <v>42</v>
      </c>
      <c r="B30" s="21" t="s">
        <v>37</v>
      </c>
      <c r="C30" s="22">
        <v>24.74</v>
      </c>
      <c r="D30" s="23">
        <f>(C30/C47)*1000</f>
        <v>1.4525070130138522</v>
      </c>
      <c r="E30" s="22">
        <v>24.74</v>
      </c>
      <c r="F30" s="23">
        <f>(E30/E47)*1000</f>
        <v>1.4525070130138522</v>
      </c>
    </row>
    <row r="31" spans="1:6" hidden="1">
      <c r="A31" s="19"/>
      <c r="B31" s="9" t="s">
        <v>43</v>
      </c>
      <c r="C31" s="10">
        <v>0</v>
      </c>
      <c r="D31" s="11">
        <f>(C31/C47)*1000</f>
        <v>0</v>
      </c>
      <c r="E31" s="10">
        <v>0</v>
      </c>
      <c r="F31" s="11">
        <f>(E31/E47)*1000</f>
        <v>0</v>
      </c>
    </row>
    <row r="32" spans="1:6" hidden="1">
      <c r="A32" s="20"/>
      <c r="B32" s="21" t="s">
        <v>34</v>
      </c>
      <c r="C32" s="22">
        <v>0</v>
      </c>
      <c r="D32" s="23">
        <f>(C32/C47)*1000</f>
        <v>0</v>
      </c>
      <c r="E32" s="22">
        <v>0</v>
      </c>
      <c r="F32" s="23">
        <f>(E32/E47)*1000</f>
        <v>0</v>
      </c>
    </row>
    <row r="33" spans="1:6" hidden="1">
      <c r="A33" s="20"/>
      <c r="B33" s="21" t="s">
        <v>26</v>
      </c>
      <c r="C33" s="22">
        <v>0</v>
      </c>
      <c r="D33" s="23">
        <f>(C33/C47)*1000</f>
        <v>0</v>
      </c>
      <c r="E33" s="22">
        <v>0</v>
      </c>
      <c r="F33" s="23">
        <f>(E33/E47)*1000</f>
        <v>0</v>
      </c>
    </row>
    <row r="34" spans="1:6" hidden="1">
      <c r="A34" s="20"/>
      <c r="B34" s="21" t="s">
        <v>37</v>
      </c>
      <c r="C34" s="22">
        <v>0</v>
      </c>
      <c r="D34" s="23">
        <f>(C34/C47)*1000</f>
        <v>0</v>
      </c>
      <c r="E34" s="22">
        <v>0</v>
      </c>
      <c r="F34" s="23">
        <f>(E34/E47)*1000</f>
        <v>0</v>
      </c>
    </row>
    <row r="35" spans="1:6">
      <c r="A35" s="19">
        <v>3</v>
      </c>
      <c r="B35" s="9" t="s">
        <v>44</v>
      </c>
      <c r="C35" s="10">
        <v>0</v>
      </c>
      <c r="D35" s="11">
        <f>(C35/C47)*1000</f>
        <v>0</v>
      </c>
      <c r="E35" s="10">
        <v>0</v>
      </c>
      <c r="F35" s="11">
        <f>(E35/E47)*1000</f>
        <v>0</v>
      </c>
    </row>
    <row r="36" spans="1:6">
      <c r="A36" s="19">
        <v>4</v>
      </c>
      <c r="B36" s="9" t="s">
        <v>45</v>
      </c>
      <c r="C36" s="10">
        <v>0</v>
      </c>
      <c r="D36" s="11">
        <f>(C36/C47)*1000</f>
        <v>0</v>
      </c>
      <c r="E36" s="10">
        <v>0</v>
      </c>
      <c r="F36" s="11">
        <f>(E36/E47)*1000</f>
        <v>0</v>
      </c>
    </row>
    <row r="37" spans="1:6">
      <c r="A37" s="19">
        <v>5</v>
      </c>
      <c r="B37" s="9" t="s">
        <v>46</v>
      </c>
      <c r="C37" s="10">
        <f>C10+C27+C31+C35+C36-0.01</f>
        <v>15814.85</v>
      </c>
      <c r="D37" s="11">
        <f>(C37/C47)*1000</f>
        <v>928.50365944875193</v>
      </c>
      <c r="E37" s="10">
        <f>E10+E27+E31+E35+E36-0.01</f>
        <v>23149.101760900005</v>
      </c>
      <c r="F37" s="11">
        <f>(E37/E47)*1000</f>
        <v>1359.1039875779538</v>
      </c>
    </row>
    <row r="38" spans="1:6">
      <c r="A38" s="19">
        <v>6</v>
      </c>
      <c r="B38" s="9" t="s">
        <v>47</v>
      </c>
      <c r="C38" s="10">
        <v>1250.07</v>
      </c>
      <c r="D38" s="11">
        <f>C38/C47*1000</f>
        <v>73.392701768723782</v>
      </c>
      <c r="E38" s="10">
        <v>0</v>
      </c>
      <c r="F38" s="11">
        <f>E38/E47*1000</f>
        <v>0</v>
      </c>
    </row>
    <row r="39" spans="1:6">
      <c r="A39" s="19">
        <v>7</v>
      </c>
      <c r="B39" s="9" t="s">
        <v>48</v>
      </c>
      <c r="C39" s="10">
        <f t="shared" ref="C39:F39" si="0">SUM(C40:C44)</f>
        <v>391.5</v>
      </c>
      <c r="D39" s="12">
        <f t="shared" si="0"/>
        <v>22.985307016771351</v>
      </c>
      <c r="E39" s="10">
        <f t="shared" si="0"/>
        <v>391.5</v>
      </c>
      <c r="F39" s="45">
        <f t="shared" si="0"/>
        <v>22.985307016771351</v>
      </c>
    </row>
    <row r="40" spans="1:6">
      <c r="A40" s="20" t="s">
        <v>49</v>
      </c>
      <c r="B40" s="21" t="s">
        <v>50</v>
      </c>
      <c r="C40" s="22">
        <v>70.47</v>
      </c>
      <c r="D40" s="23">
        <f>(C40/C47)*1000</f>
        <v>4.1373552630188426</v>
      </c>
      <c r="E40" s="22">
        <v>70.47</v>
      </c>
      <c r="F40" s="23">
        <f>(E40/E47)*1000</f>
        <v>4.1373552630188426</v>
      </c>
    </row>
    <row r="41" spans="1:6">
      <c r="A41" s="20" t="s">
        <v>51</v>
      </c>
      <c r="B41" s="21" t="s">
        <v>52</v>
      </c>
      <c r="C41" s="22">
        <v>0</v>
      </c>
      <c r="D41" s="23">
        <f>(C41/C47)*1000</f>
        <v>0</v>
      </c>
      <c r="E41" s="22">
        <v>0</v>
      </c>
      <c r="F41" s="23">
        <f>(E41/E47)*1000</f>
        <v>0</v>
      </c>
    </row>
    <row r="42" spans="1:6">
      <c r="A42" s="20" t="s">
        <v>53</v>
      </c>
      <c r="B42" s="21" t="s">
        <v>54</v>
      </c>
      <c r="C42" s="22">
        <v>0</v>
      </c>
      <c r="D42" s="23">
        <f>(C42/C47)*1000</f>
        <v>0</v>
      </c>
      <c r="E42" s="22">
        <v>0</v>
      </c>
      <c r="F42" s="23">
        <f>(E42/E47)*1000</f>
        <v>0</v>
      </c>
    </row>
    <row r="43" spans="1:6">
      <c r="A43" s="20" t="s">
        <v>55</v>
      </c>
      <c r="B43" s="24" t="s">
        <v>56</v>
      </c>
      <c r="C43" s="22">
        <v>321.02999999999997</v>
      </c>
      <c r="D43" s="23">
        <f>(C43/C47)*1000</f>
        <v>18.847951753752508</v>
      </c>
      <c r="E43" s="22">
        <v>321.02999999999997</v>
      </c>
      <c r="F43" s="23">
        <f>(E43/E47)*1000</f>
        <v>18.847951753752508</v>
      </c>
    </row>
    <row r="44" spans="1:6">
      <c r="A44" s="20" t="s">
        <v>57</v>
      </c>
      <c r="B44" s="21" t="s">
        <v>58</v>
      </c>
      <c r="C44" s="22">
        <v>0</v>
      </c>
      <c r="D44" s="23">
        <f>(C44/C47)*1000</f>
        <v>0</v>
      </c>
      <c r="E44" s="22">
        <v>0</v>
      </c>
      <c r="F44" s="23">
        <f>(E44/E47)*1000</f>
        <v>0</v>
      </c>
    </row>
    <row r="45" spans="1:6" ht="27.6">
      <c r="A45" s="19">
        <v>8</v>
      </c>
      <c r="B45" s="13" t="s">
        <v>59</v>
      </c>
      <c r="C45" s="10">
        <f t="shared" ref="C45:F45" si="1">C37+C39+C38</f>
        <v>17456.420000000002</v>
      </c>
      <c r="D45" s="11">
        <f t="shared" si="1"/>
        <v>1024.8816682342472</v>
      </c>
      <c r="E45" s="10">
        <f t="shared" si="1"/>
        <v>23540.601760900005</v>
      </c>
      <c r="F45" s="11">
        <f t="shared" si="1"/>
        <v>1382.0892945947253</v>
      </c>
    </row>
    <row r="46" spans="1:6">
      <c r="A46" s="19">
        <v>9</v>
      </c>
      <c r="B46" s="13" t="s">
        <v>60</v>
      </c>
      <c r="C46" s="10"/>
      <c r="D46" s="11">
        <f>D45</f>
        <v>1024.8816682342472</v>
      </c>
      <c r="E46" s="10"/>
      <c r="F46" s="11">
        <f>F45</f>
        <v>1382.0892945947253</v>
      </c>
    </row>
    <row r="47" spans="1:6">
      <c r="A47" s="25">
        <v>10</v>
      </c>
      <c r="B47" s="21" t="s">
        <v>61</v>
      </c>
      <c r="C47" s="22">
        <v>17032.62</v>
      </c>
      <c r="D47" s="23"/>
      <c r="E47" s="22">
        <v>17032.62</v>
      </c>
      <c r="F47" s="23"/>
    </row>
    <row r="48" spans="1:6" ht="14.4" thickBot="1">
      <c r="A48" s="26">
        <v>11</v>
      </c>
      <c r="B48" s="27" t="s">
        <v>62</v>
      </c>
      <c r="C48" s="28">
        <f t="shared" ref="C48:F48" si="2">C39/C37*100</f>
        <v>2.4755214244839499</v>
      </c>
      <c r="D48" s="28">
        <f t="shared" si="2"/>
        <v>2.4755214244839503</v>
      </c>
      <c r="E48" s="28">
        <f t="shared" si="2"/>
        <v>1.6912103287794225</v>
      </c>
      <c r="F48" s="28">
        <f t="shared" si="2"/>
        <v>1.6912103287794225</v>
      </c>
    </row>
    <row r="49" spans="1:6">
      <c r="A49" s="29"/>
      <c r="B49" s="30"/>
      <c r="C49" s="31"/>
      <c r="D49" s="32"/>
      <c r="E49" s="31"/>
      <c r="F49" s="32"/>
    </row>
    <row r="50" spans="1:6" s="33" customFormat="1">
      <c r="A50" s="36"/>
      <c r="B50" s="37" t="s">
        <v>67</v>
      </c>
      <c r="C50" s="38">
        <v>2524.79</v>
      </c>
      <c r="D50" s="39"/>
      <c r="E50" s="38">
        <v>2524.7910000000002</v>
      </c>
      <c r="F50" s="39"/>
    </row>
    <row r="51" spans="1:6" s="43" customFormat="1">
      <c r="A51" s="40"/>
      <c r="B51" s="41" t="s">
        <v>66</v>
      </c>
      <c r="C51" s="77">
        <f>C12/C50*1000</f>
        <v>5735.0076640037396</v>
      </c>
      <c r="D51" s="77"/>
      <c r="E51" s="77">
        <f>E12/E50*1000</f>
        <v>8639.9000000000015</v>
      </c>
      <c r="F51" s="42"/>
    </row>
    <row r="52" spans="1:6" s="43" customFormat="1">
      <c r="A52" s="78"/>
      <c r="B52" s="50"/>
      <c r="C52" s="79"/>
      <c r="D52" s="79"/>
      <c r="E52" s="79"/>
      <c r="F52" s="80"/>
    </row>
    <row r="53" spans="1:6" s="33" customFormat="1">
      <c r="A53" s="81"/>
      <c r="B53" s="82" t="s">
        <v>106</v>
      </c>
      <c r="C53" s="83"/>
      <c r="D53" s="85" t="s">
        <v>107</v>
      </c>
      <c r="E53" s="83"/>
      <c r="F53" s="84"/>
    </row>
    <row r="54" spans="1:6">
      <c r="C54" s="15"/>
      <c r="D54" s="15"/>
      <c r="E54" s="15"/>
      <c r="F54" s="15"/>
    </row>
    <row r="55" spans="1:6" hidden="1">
      <c r="A55" s="29"/>
      <c r="B55" s="50"/>
      <c r="C55" s="30"/>
      <c r="D55" s="30"/>
      <c r="E55" s="32"/>
      <c r="F55" s="30"/>
    </row>
    <row r="56" spans="1:6">
      <c r="B56" s="15" t="s">
        <v>69</v>
      </c>
      <c r="C56" s="15"/>
      <c r="D56" s="15" t="s">
        <v>68</v>
      </c>
      <c r="E56" s="15"/>
      <c r="F56" s="15"/>
    </row>
    <row r="57" spans="1:6">
      <c r="C57" s="15"/>
      <c r="D57" s="15"/>
      <c r="E57" s="15"/>
      <c r="F57" s="15"/>
    </row>
    <row r="58" spans="1:6">
      <c r="F58" s="14">
        <f>F46*1.2</f>
        <v>1658.5071535136703</v>
      </c>
    </row>
    <row r="59" spans="1:6">
      <c r="F59" s="35">
        <f>F46</f>
        <v>1382.0892945947253</v>
      </c>
    </row>
    <row r="60" spans="1:6">
      <c r="F60" s="35">
        <f>F59*0.2</f>
        <v>276.41785891894506</v>
      </c>
    </row>
  </sheetData>
  <mergeCells count="7">
    <mergeCell ref="C7:D7"/>
    <mergeCell ref="E7:F7"/>
    <mergeCell ref="E2:F2"/>
    <mergeCell ref="E3:F3"/>
    <mergeCell ref="A4:F4"/>
    <mergeCell ref="C6:D6"/>
    <mergeCell ref="E6:F6"/>
  </mergeCells>
  <pageMargins left="0.7" right="0.12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A4" sqref="A4:D5"/>
    </sheetView>
  </sheetViews>
  <sheetFormatPr defaultColWidth="8.69921875" defaultRowHeight="16.95" customHeight="1"/>
  <cols>
    <col min="1" max="1" width="5.19921875" style="52" customWidth="1"/>
    <col min="2" max="2" width="34.19921875" style="52" customWidth="1"/>
    <col min="3" max="3" width="27.19921875" style="52" customWidth="1"/>
    <col min="4" max="4" width="14.19921875" style="52" customWidth="1"/>
    <col min="5" max="16384" width="8.69921875" style="52"/>
  </cols>
  <sheetData>
    <row r="1" spans="1:4" ht="16.95" customHeight="1">
      <c r="A1" s="44"/>
      <c r="B1" s="44"/>
      <c r="C1" s="128" t="s">
        <v>98</v>
      </c>
      <c r="D1" s="128"/>
    </row>
    <row r="2" spans="1:4" ht="34.950000000000003" hidden="1" customHeight="1">
      <c r="A2" s="44"/>
      <c r="B2" s="44"/>
      <c r="C2" s="124" t="s">
        <v>96</v>
      </c>
      <c r="D2" s="124"/>
    </row>
    <row r="3" spans="1:4" ht="16.95" hidden="1" customHeight="1">
      <c r="A3" s="44"/>
      <c r="B3" s="44"/>
      <c r="C3" s="125" t="s">
        <v>97</v>
      </c>
      <c r="D3" s="125"/>
    </row>
    <row r="4" spans="1:4" ht="27.6" customHeight="1">
      <c r="A4" s="122" t="s">
        <v>101</v>
      </c>
      <c r="B4" s="122"/>
      <c r="C4" s="122"/>
      <c r="D4" s="122"/>
    </row>
    <row r="5" spans="1:4" ht="27.6" customHeight="1">
      <c r="A5" s="122"/>
      <c r="B5" s="122"/>
      <c r="C5" s="122"/>
      <c r="D5" s="122"/>
    </row>
    <row r="6" spans="1:4" ht="16.95" customHeight="1">
      <c r="A6" s="53"/>
      <c r="B6" s="53"/>
      <c r="C6" s="119" t="s">
        <v>65</v>
      </c>
      <c r="D6" s="119"/>
    </row>
    <row r="7" spans="1:4" ht="66.599999999999994" customHeight="1">
      <c r="A7" s="120" t="s">
        <v>70</v>
      </c>
      <c r="B7" s="120" t="s">
        <v>71</v>
      </c>
      <c r="C7" s="54" t="s">
        <v>102</v>
      </c>
      <c r="D7" s="54" t="s">
        <v>103</v>
      </c>
    </row>
    <row r="8" spans="1:4" ht="16.95" customHeight="1">
      <c r="A8" s="120"/>
      <c r="B8" s="120"/>
      <c r="C8" s="54" t="s">
        <v>74</v>
      </c>
      <c r="D8" s="54" t="s">
        <v>74</v>
      </c>
    </row>
    <row r="9" spans="1:4" ht="16.95" customHeight="1">
      <c r="A9" s="55">
        <v>1</v>
      </c>
      <c r="B9" s="55">
        <f>A9+1</f>
        <v>2</v>
      </c>
      <c r="C9" s="55">
        <f>IF(C15=0,,B9+1)</f>
        <v>3</v>
      </c>
      <c r="D9" s="55">
        <f>IF(D15=0,,C9+1)</f>
        <v>4</v>
      </c>
    </row>
    <row r="10" spans="1:4" ht="49.95" customHeight="1">
      <c r="A10" s="56" t="s">
        <v>75</v>
      </c>
      <c r="B10" s="57" t="s">
        <v>76</v>
      </c>
      <c r="C10" s="58">
        <v>50.17</v>
      </c>
      <c r="D10" s="58">
        <f>'Корегування те бюдж'!F46*0.052</f>
        <v>73.840797925791833</v>
      </c>
    </row>
    <row r="11" spans="1:4" ht="49.95" customHeight="1">
      <c r="A11" s="56" t="s">
        <v>77</v>
      </c>
      <c r="B11" s="57" t="s">
        <v>78</v>
      </c>
      <c r="C11" s="58">
        <v>7.46</v>
      </c>
      <c r="D11" s="58">
        <v>9.8956999999999997</v>
      </c>
    </row>
    <row r="12" spans="1:4" ht="49.95" customHeight="1">
      <c r="A12" s="56" t="s">
        <v>79</v>
      </c>
      <c r="B12" s="57" t="s">
        <v>80</v>
      </c>
      <c r="C12" s="58">
        <v>1.1087667473142857</v>
      </c>
      <c r="D12" s="58">
        <v>1.1087667473142853</v>
      </c>
    </row>
    <row r="13" spans="1:4" ht="49.95" customHeight="1">
      <c r="A13" s="56" t="s">
        <v>81</v>
      </c>
      <c r="B13" s="57" t="s">
        <v>82</v>
      </c>
      <c r="C13" s="58">
        <f>C12-C14</f>
        <v>0.90918873279771428</v>
      </c>
      <c r="D13" s="58">
        <f>D12-D14</f>
        <v>0.90918873279771395</v>
      </c>
    </row>
    <row r="14" spans="1:4" ht="49.95" customHeight="1">
      <c r="A14" s="56" t="s">
        <v>83</v>
      </c>
      <c r="B14" s="57" t="s">
        <v>84</v>
      </c>
      <c r="C14" s="58">
        <f>C12*0.18</f>
        <v>0.19957801451657142</v>
      </c>
      <c r="D14" s="58">
        <f>D12*0.18</f>
        <v>0.19957801451657134</v>
      </c>
    </row>
    <row r="15" spans="1:4" ht="49.95" customHeight="1">
      <c r="A15" s="56" t="s">
        <v>85</v>
      </c>
      <c r="B15" s="57" t="s">
        <v>86</v>
      </c>
      <c r="C15" s="58">
        <f>C10+C11+C12</f>
        <v>58.738766747314287</v>
      </c>
      <c r="D15" s="58">
        <f>D10+D11+D12</f>
        <v>84.845264673106129</v>
      </c>
    </row>
    <row r="16" spans="1:4" ht="49.95" customHeight="1">
      <c r="A16" s="56" t="s">
        <v>87</v>
      </c>
      <c r="B16" s="57" t="s">
        <v>89</v>
      </c>
      <c r="C16" s="58">
        <f>C15*0.2</f>
        <v>11.747753349462858</v>
      </c>
      <c r="D16" s="58">
        <f t="shared" ref="D16" si="0">D15*0.2</f>
        <v>16.969052934621228</v>
      </c>
    </row>
    <row r="17" spans="1:6" ht="49.95" customHeight="1">
      <c r="A17" s="56" t="s">
        <v>88</v>
      </c>
      <c r="B17" s="59" t="s">
        <v>90</v>
      </c>
      <c r="C17" s="76">
        <f>C15+C16</f>
        <v>70.486520096777141</v>
      </c>
      <c r="D17" s="76">
        <f t="shared" ref="D17" si="1">D15+D16</f>
        <v>101.81431760772736</v>
      </c>
    </row>
    <row r="18" spans="1:6" ht="20.399999999999999" customHeight="1">
      <c r="A18" s="127"/>
      <c r="B18" s="127"/>
      <c r="C18" s="127"/>
      <c r="D18" s="127"/>
    </row>
    <row r="19" spans="1:6" s="33" customFormat="1" ht="13.8">
      <c r="A19" s="81"/>
      <c r="B19" s="82" t="s">
        <v>106</v>
      </c>
      <c r="C19" s="83"/>
      <c r="D19" s="85" t="s">
        <v>107</v>
      </c>
      <c r="E19" s="83"/>
      <c r="F19" s="84"/>
    </row>
    <row r="20" spans="1:6" ht="20.399999999999999" customHeight="1">
      <c r="A20" s="86"/>
      <c r="B20" s="86"/>
      <c r="C20" s="86"/>
      <c r="D20" s="86"/>
    </row>
    <row r="21" spans="1:6" s="14" customFormat="1" ht="13.8">
      <c r="A21" s="34"/>
      <c r="B21" s="15" t="s">
        <v>69</v>
      </c>
      <c r="C21" s="15"/>
      <c r="D21" s="15" t="s">
        <v>68</v>
      </c>
      <c r="E21" s="15"/>
      <c r="F21" s="15"/>
    </row>
  </sheetData>
  <mergeCells count="8">
    <mergeCell ref="A18:D18"/>
    <mergeCell ref="C1:D1"/>
    <mergeCell ref="C2:D2"/>
    <mergeCell ref="C3:D3"/>
    <mergeCell ref="A4:D5"/>
    <mergeCell ref="C6:D6"/>
    <mergeCell ref="A7:A8"/>
    <mergeCell ref="B7:B8"/>
  </mergeCells>
  <conditionalFormatting sqref="A9:D9">
    <cfRule type="cellIs" dxfId="0" priority="2" operator="equal">
      <formula>0</formula>
    </cfRule>
  </conditionalFormatting>
  <pageMargins left="0.7" right="0.28999999999999998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Корегування те бюдж</vt:lpstr>
      <vt:lpstr>корегування вир бюдж</vt:lpstr>
      <vt:lpstr>кориг послуга цгв</vt:lpstr>
      <vt:lpstr>розрахунок те</vt:lpstr>
      <vt:lpstr>розрахунок вироб</vt:lpstr>
      <vt:lpstr>розрахунок посл</vt:lpstr>
      <vt:lpstr>'корегування вир бюдж'!Область_печати</vt:lpstr>
      <vt:lpstr>'Корегування те бюдж'!Область_печати</vt:lpstr>
      <vt:lpstr>'розрахунок вироб'!Область_печати</vt:lpstr>
      <vt:lpstr>'розрахунок те'!Область_печати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cp:lastPrinted>2017-10-25T07:52:47Z</cp:lastPrinted>
  <dcterms:created xsi:type="dcterms:W3CDTF">2017-10-18T06:43:41Z</dcterms:created>
  <dcterms:modified xsi:type="dcterms:W3CDTF">2017-10-25T10:03:44Z</dcterms:modified>
</cp:coreProperties>
</file>