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8580"/>
  </bookViews>
  <sheets>
    <sheet name="Лист1" sheetId="1" r:id="rId1"/>
  </sheets>
  <definedNames>
    <definedName name="Z_67AF1382_F09A_4B6D_8319_2D8C2ACD1656_.wvu.PrintTitles" localSheetId="0" hidden="1">Лист1!$5:$9</definedName>
    <definedName name="_xlnm.Print_Titles" localSheetId="0">Лист1!$4:$9</definedName>
    <definedName name="_xlnm.Print_Area" localSheetId="0">Лист1!$A$1:$R$147</definedName>
  </definedNames>
  <calcPr calcId="125725"/>
  <customWorkbookViews>
    <customWorkbookView name="777 - Личное представление" guid="{67AF1382-F09A-4B6D-8319-2D8C2ACD1656}" mergeInterval="0" personalView="1" maximized="1" windowWidth="1276" windowHeight="799" activeSheetId="1"/>
    <customWorkbookView name="WiZaRd - Личное представление" guid="{D6B9132F-3C93-42C3-A6E3-991AE92413FC}" mergeInterval="0" personalView="1" maximized="1" windowWidth="1362" windowHeight="622" activeSheetId="1"/>
    <customWorkbookView name="Admin - Личное представление" guid="{7CFD4F51-682B-4CC3-8469-6A464B2434ED}" mergeInterval="0" personalView="1" maximized="1" windowWidth="1020" windowHeight="596" activeSheetId="1"/>
    <customWorkbookView name="www.PHILka.RU - Личное представление" guid="{33D6E7AD-978F-40D3-BDFC-C8587B0DF878}" mergeInterval="0" personalView="1" maximized="1" windowWidth="1276" windowHeight="825" activeSheetId="1"/>
  </customWorkbookViews>
</workbook>
</file>

<file path=xl/calcChain.xml><?xml version="1.0" encoding="utf-8"?>
<calcChain xmlns="http://schemas.openxmlformats.org/spreadsheetml/2006/main">
  <c r="H142" i="1"/>
  <c r="H140"/>
  <c r="D142"/>
  <c r="D140"/>
  <c r="D10"/>
  <c r="D14"/>
  <c r="C98"/>
  <c r="D57"/>
  <c r="P57" s="1"/>
  <c r="D130"/>
  <c r="P130" s="1"/>
  <c r="C34"/>
  <c r="D34"/>
  <c r="H24"/>
  <c r="G34"/>
  <c r="H34"/>
  <c r="P37"/>
  <c r="O37"/>
  <c r="C37"/>
  <c r="D55"/>
  <c r="D29"/>
  <c r="D26"/>
  <c r="Q31"/>
  <c r="R31"/>
  <c r="Q34"/>
  <c r="R34"/>
  <c r="Q25"/>
  <c r="R25"/>
  <c r="Q28"/>
  <c r="R28"/>
  <c r="R14"/>
  <c r="R21"/>
  <c r="R22"/>
  <c r="R23"/>
  <c r="R43"/>
  <c r="R48"/>
  <c r="R52"/>
  <c r="R54"/>
  <c r="R74"/>
  <c r="R76"/>
  <c r="R81"/>
  <c r="R90"/>
  <c r="R91"/>
  <c r="R92"/>
  <c r="R93"/>
  <c r="R94"/>
  <c r="R95"/>
  <c r="R96"/>
  <c r="R97"/>
  <c r="R99"/>
  <c r="R100"/>
  <c r="R103"/>
  <c r="R105"/>
  <c r="R106"/>
  <c r="R107"/>
  <c r="R110"/>
  <c r="R112"/>
  <c r="R113"/>
  <c r="R114"/>
  <c r="R115"/>
  <c r="R116"/>
  <c r="R117"/>
  <c r="R118"/>
  <c r="R119"/>
  <c r="R121"/>
  <c r="R122"/>
  <c r="R124"/>
  <c r="R125"/>
  <c r="R126"/>
  <c r="R128"/>
  <c r="R129"/>
  <c r="R136"/>
  <c r="R137"/>
  <c r="R139"/>
  <c r="R141"/>
  <c r="R10"/>
  <c r="Q14"/>
  <c r="Q16"/>
  <c r="Q17"/>
  <c r="Q18"/>
  <c r="Q21"/>
  <c r="Q22"/>
  <c r="Q23"/>
  <c r="Q43"/>
  <c r="Q48"/>
  <c r="Q52"/>
  <c r="Q54"/>
  <c r="Q74"/>
  <c r="Q76"/>
  <c r="Q81"/>
  <c r="Q90"/>
  <c r="Q91"/>
  <c r="Q92"/>
  <c r="Q93"/>
  <c r="Q94"/>
  <c r="Q95"/>
  <c r="Q96"/>
  <c r="Q97"/>
  <c r="Q99"/>
  <c r="Q100"/>
  <c r="Q103"/>
  <c r="Q105"/>
  <c r="Q106"/>
  <c r="Q107"/>
  <c r="Q110"/>
  <c r="Q112"/>
  <c r="Q113"/>
  <c r="Q114"/>
  <c r="Q115"/>
  <c r="Q116"/>
  <c r="Q117"/>
  <c r="Q118"/>
  <c r="Q119"/>
  <c r="Q121"/>
  <c r="Q122"/>
  <c r="Q124"/>
  <c r="Q125"/>
  <c r="Q128"/>
  <c r="Q129"/>
  <c r="Q136"/>
  <c r="Q137"/>
  <c r="Q139"/>
  <c r="Q10"/>
  <c r="P14"/>
  <c r="P16"/>
  <c r="P17"/>
  <c r="P18"/>
  <c r="P19"/>
  <c r="P21"/>
  <c r="P22"/>
  <c r="P23"/>
  <c r="P26"/>
  <c r="P27"/>
  <c r="P29"/>
  <c r="P30"/>
  <c r="P32"/>
  <c r="P33"/>
  <c r="P35"/>
  <c r="P36"/>
  <c r="P38"/>
  <c r="P39"/>
  <c r="P40"/>
  <c r="P41"/>
  <c r="P42"/>
  <c r="P44"/>
  <c r="P45"/>
  <c r="P46"/>
  <c r="P48"/>
  <c r="P50"/>
  <c r="P51"/>
  <c r="P53"/>
  <c r="P55"/>
  <c r="P58"/>
  <c r="P59"/>
  <c r="P60"/>
  <c r="P62"/>
  <c r="P63"/>
  <c r="P65"/>
  <c r="P66"/>
  <c r="P67"/>
  <c r="P68"/>
  <c r="P70"/>
  <c r="P71"/>
  <c r="P73"/>
  <c r="P74"/>
  <c r="P76"/>
  <c r="P77"/>
  <c r="P79"/>
  <c r="P80"/>
  <c r="P81"/>
  <c r="P83"/>
  <c r="P84"/>
  <c r="P85"/>
  <c r="P87"/>
  <c r="P90"/>
  <c r="P91"/>
  <c r="P92"/>
  <c r="P93"/>
  <c r="P94"/>
  <c r="P95"/>
  <c r="P96"/>
  <c r="P97"/>
  <c r="P99"/>
  <c r="P100"/>
  <c r="P103"/>
  <c r="P105"/>
  <c r="P106"/>
  <c r="P107"/>
  <c r="P110"/>
  <c r="P112"/>
  <c r="P113"/>
  <c r="P114"/>
  <c r="P115"/>
  <c r="P116"/>
  <c r="P118"/>
  <c r="P119"/>
  <c r="P122"/>
  <c r="P124"/>
  <c r="P125"/>
  <c r="P128"/>
  <c r="P129"/>
  <c r="P131"/>
  <c r="P132"/>
  <c r="P135"/>
  <c r="P136"/>
  <c r="P137"/>
  <c r="P139"/>
  <c r="P10"/>
  <c r="O18"/>
  <c r="O23"/>
  <c r="O97"/>
  <c r="O125"/>
  <c r="O131"/>
  <c r="O139"/>
  <c r="N21"/>
  <c r="J133"/>
  <c r="J89"/>
  <c r="J14"/>
  <c r="J74"/>
  <c r="J127"/>
  <c r="J10"/>
  <c r="F133"/>
  <c r="R133" s="1"/>
  <c r="F127"/>
  <c r="F126" s="1"/>
  <c r="N90"/>
  <c r="N92"/>
  <c r="N96"/>
  <c r="F89"/>
  <c r="R89" s="1"/>
  <c r="I133"/>
  <c r="E133"/>
  <c r="Q133" s="1"/>
  <c r="I127"/>
  <c r="I126" s="1"/>
  <c r="C125"/>
  <c r="C124"/>
  <c r="O124" s="1"/>
  <c r="C90"/>
  <c r="O90" s="1"/>
  <c r="C91"/>
  <c r="O91" s="1"/>
  <c r="C92"/>
  <c r="O92" s="1"/>
  <c r="C93"/>
  <c r="O93" s="1"/>
  <c r="C94"/>
  <c r="O94" s="1"/>
  <c r="C95"/>
  <c r="O95" s="1"/>
  <c r="C96"/>
  <c r="O96" s="1"/>
  <c r="C99"/>
  <c r="O99" s="1"/>
  <c r="C100"/>
  <c r="O100" s="1"/>
  <c r="M90"/>
  <c r="L92"/>
  <c r="M92"/>
  <c r="L96"/>
  <c r="M96"/>
  <c r="L99"/>
  <c r="I16"/>
  <c r="E127"/>
  <c r="E126" s="1"/>
  <c r="Q126" s="1"/>
  <c r="E89"/>
  <c r="Q89" s="1"/>
  <c r="E19"/>
  <c r="Q19" s="1"/>
  <c r="E140"/>
  <c r="H87"/>
  <c r="L87" s="1"/>
  <c r="H124"/>
  <c r="L124" s="1"/>
  <c r="E109"/>
  <c r="Q109" s="1"/>
  <c r="F109"/>
  <c r="F108" s="1"/>
  <c r="H109"/>
  <c r="H108" s="1"/>
  <c r="I109"/>
  <c r="J109"/>
  <c r="M107"/>
  <c r="N107"/>
  <c r="L110"/>
  <c r="M110"/>
  <c r="N110"/>
  <c r="L113"/>
  <c r="M113"/>
  <c r="N113"/>
  <c r="L122"/>
  <c r="L125"/>
  <c r="N127"/>
  <c r="M128"/>
  <c r="N128"/>
  <c r="L130"/>
  <c r="L131"/>
  <c r="N131"/>
  <c r="N133"/>
  <c r="L135"/>
  <c r="L137"/>
  <c r="M137"/>
  <c r="N137"/>
  <c r="E102"/>
  <c r="Q102" s="1"/>
  <c r="F102"/>
  <c r="R102" s="1"/>
  <c r="H102"/>
  <c r="I102"/>
  <c r="J102"/>
  <c r="E104"/>
  <c r="Q104" s="1"/>
  <c r="F104"/>
  <c r="R104" s="1"/>
  <c r="H104"/>
  <c r="I104"/>
  <c r="J104"/>
  <c r="E117"/>
  <c r="E111" s="1"/>
  <c r="Q111" s="1"/>
  <c r="F117"/>
  <c r="F111" s="1"/>
  <c r="R111" s="1"/>
  <c r="H117"/>
  <c r="I117"/>
  <c r="I111" s="1"/>
  <c r="J117"/>
  <c r="J111" s="1"/>
  <c r="J121"/>
  <c r="E121"/>
  <c r="F121"/>
  <c r="H121"/>
  <c r="I121"/>
  <c r="J126"/>
  <c r="H127"/>
  <c r="H126" s="1"/>
  <c r="G126" s="1"/>
  <c r="H134"/>
  <c r="G130"/>
  <c r="G131"/>
  <c r="G132"/>
  <c r="G135"/>
  <c r="G136"/>
  <c r="G137"/>
  <c r="G116"/>
  <c r="G118"/>
  <c r="G119"/>
  <c r="G122"/>
  <c r="G121" s="1"/>
  <c r="G125"/>
  <c r="K125" s="1"/>
  <c r="G128"/>
  <c r="G129"/>
  <c r="G127" s="1"/>
  <c r="G103"/>
  <c r="G102" s="1"/>
  <c r="G105"/>
  <c r="G106"/>
  <c r="G107"/>
  <c r="G110"/>
  <c r="G109" s="1"/>
  <c r="G108" s="1"/>
  <c r="G112"/>
  <c r="G113"/>
  <c r="G114"/>
  <c r="G115"/>
  <c r="G100"/>
  <c r="G99"/>
  <c r="G96"/>
  <c r="G95"/>
  <c r="G94"/>
  <c r="G93"/>
  <c r="G92"/>
  <c r="G91"/>
  <c r="G90"/>
  <c r="H89"/>
  <c r="I89"/>
  <c r="H83"/>
  <c r="H76"/>
  <c r="L73"/>
  <c r="G73"/>
  <c r="L70"/>
  <c r="G70"/>
  <c r="G66"/>
  <c r="G65"/>
  <c r="L58"/>
  <c r="L59"/>
  <c r="L60"/>
  <c r="G58"/>
  <c r="G59"/>
  <c r="G60"/>
  <c r="H57"/>
  <c r="L55"/>
  <c r="G55"/>
  <c r="H50"/>
  <c r="L46"/>
  <c r="L44"/>
  <c r="G45"/>
  <c r="G46"/>
  <c r="G44"/>
  <c r="H23"/>
  <c r="G23" s="1"/>
  <c r="H16"/>
  <c r="J142"/>
  <c r="E142"/>
  <c r="F142"/>
  <c r="R142" s="1"/>
  <c r="I142"/>
  <c r="E141"/>
  <c r="Q141" s="1"/>
  <c r="F141"/>
  <c r="H141"/>
  <c r="I141"/>
  <c r="J141"/>
  <c r="F140"/>
  <c r="I140"/>
  <c r="J140"/>
  <c r="R140" s="1"/>
  <c r="D141"/>
  <c r="P141" s="1"/>
  <c r="G87"/>
  <c r="K87" s="1"/>
  <c r="C87"/>
  <c r="O87" s="1"/>
  <c r="Q142" l="1"/>
  <c r="Q140"/>
  <c r="L57"/>
  <c r="R127"/>
  <c r="Q127"/>
  <c r="R109"/>
  <c r="E108"/>
  <c r="G57"/>
  <c r="F120"/>
  <c r="R120" s="1"/>
  <c r="M109"/>
  <c r="N89"/>
  <c r="M133"/>
  <c r="E120"/>
  <c r="Q120" s="1"/>
  <c r="K92"/>
  <c r="I108"/>
  <c r="I101" s="1"/>
  <c r="M89"/>
  <c r="N111"/>
  <c r="H19"/>
  <c r="K90"/>
  <c r="K99"/>
  <c r="I120"/>
  <c r="N126"/>
  <c r="G117"/>
  <c r="G111" s="1"/>
  <c r="M111"/>
  <c r="J120"/>
  <c r="N104"/>
  <c r="N109"/>
  <c r="M127"/>
  <c r="M104"/>
  <c r="G104"/>
  <c r="M126"/>
  <c r="E101"/>
  <c r="H133"/>
  <c r="G134"/>
  <c r="G124"/>
  <c r="K124" s="1"/>
  <c r="G120"/>
  <c r="H120"/>
  <c r="H111"/>
  <c r="H101" s="1"/>
  <c r="F101"/>
  <c r="J108"/>
  <c r="N108" s="1"/>
  <c r="G89"/>
  <c r="P142"/>
  <c r="P140"/>
  <c r="R108" l="1"/>
  <c r="Q101"/>
  <c r="Q108"/>
  <c r="N120"/>
  <c r="M108"/>
  <c r="M120"/>
  <c r="G101"/>
  <c r="M101"/>
  <c r="G133"/>
  <c r="J101"/>
  <c r="N101" s="1"/>
  <c r="R101" l="1"/>
  <c r="C66"/>
  <c r="C65"/>
  <c r="C58"/>
  <c r="C135"/>
  <c r="C136"/>
  <c r="C137"/>
  <c r="D134"/>
  <c r="C122"/>
  <c r="C128"/>
  <c r="C129"/>
  <c r="C130"/>
  <c r="C131"/>
  <c r="K131" s="1"/>
  <c r="C132"/>
  <c r="D127"/>
  <c r="D121"/>
  <c r="P121" s="1"/>
  <c r="D117"/>
  <c r="D109"/>
  <c r="P109" s="1"/>
  <c r="D104"/>
  <c r="P104" s="1"/>
  <c r="C103"/>
  <c r="C105"/>
  <c r="O105" s="1"/>
  <c r="C106"/>
  <c r="C107"/>
  <c r="C110"/>
  <c r="C112"/>
  <c r="C113"/>
  <c r="C114"/>
  <c r="C115"/>
  <c r="O115" s="1"/>
  <c r="C116"/>
  <c r="C118"/>
  <c r="C119"/>
  <c r="D102"/>
  <c r="E88"/>
  <c r="Q88" s="1"/>
  <c r="F88"/>
  <c r="H88"/>
  <c r="I88"/>
  <c r="J88"/>
  <c r="D89"/>
  <c r="L89" s="1"/>
  <c r="P34"/>
  <c r="H72"/>
  <c r="G72" s="1"/>
  <c r="D72"/>
  <c r="P72" s="1"/>
  <c r="C73"/>
  <c r="H69"/>
  <c r="G69"/>
  <c r="D69"/>
  <c r="P69" s="1"/>
  <c r="C70"/>
  <c r="L68"/>
  <c r="H61"/>
  <c r="L61" s="1"/>
  <c r="D61"/>
  <c r="P61" s="1"/>
  <c r="C59"/>
  <c r="C57"/>
  <c r="K55"/>
  <c r="E54"/>
  <c r="F54"/>
  <c r="G54"/>
  <c r="H54"/>
  <c r="I54"/>
  <c r="J54"/>
  <c r="D54"/>
  <c r="P54" s="1"/>
  <c r="C55"/>
  <c r="O55" s="1"/>
  <c r="C60"/>
  <c r="C109"/>
  <c r="D43"/>
  <c r="P43" s="1"/>
  <c r="E43"/>
  <c r="E34" s="1"/>
  <c r="F43"/>
  <c r="F34" s="1"/>
  <c r="G43"/>
  <c r="H43"/>
  <c r="I43"/>
  <c r="I34" s="1"/>
  <c r="J43"/>
  <c r="J34" s="1"/>
  <c r="C46"/>
  <c r="C45"/>
  <c r="C44"/>
  <c r="D31"/>
  <c r="P31" s="1"/>
  <c r="E31"/>
  <c r="F31"/>
  <c r="H31"/>
  <c r="I31"/>
  <c r="J31"/>
  <c r="D28"/>
  <c r="P28" s="1"/>
  <c r="E28"/>
  <c r="F28"/>
  <c r="H28"/>
  <c r="I28"/>
  <c r="J28"/>
  <c r="D25"/>
  <c r="P25" s="1"/>
  <c r="E25"/>
  <c r="F25"/>
  <c r="H25"/>
  <c r="I25"/>
  <c r="J25"/>
  <c r="M25"/>
  <c r="C23"/>
  <c r="D19"/>
  <c r="C19" s="1"/>
  <c r="O19" s="1"/>
  <c r="J19"/>
  <c r="F19"/>
  <c r="R19" s="1"/>
  <c r="M22"/>
  <c r="L22"/>
  <c r="M21"/>
  <c r="L21"/>
  <c r="I19"/>
  <c r="G19" s="1"/>
  <c r="L19"/>
  <c r="G22"/>
  <c r="G21"/>
  <c r="C22"/>
  <c r="O22" s="1"/>
  <c r="C21"/>
  <c r="O21" s="1"/>
  <c r="N74"/>
  <c r="M74"/>
  <c r="L74"/>
  <c r="J78"/>
  <c r="I78"/>
  <c r="H78"/>
  <c r="F78"/>
  <c r="R78" s="1"/>
  <c r="E78"/>
  <c r="Q78" s="1"/>
  <c r="D78"/>
  <c r="P78" s="1"/>
  <c r="G85"/>
  <c r="G84"/>
  <c r="G83"/>
  <c r="G81"/>
  <c r="G80"/>
  <c r="G79"/>
  <c r="G77"/>
  <c r="C77"/>
  <c r="O77" s="1"/>
  <c r="G76"/>
  <c r="C76"/>
  <c r="O76" s="1"/>
  <c r="G74"/>
  <c r="C74"/>
  <c r="O74" s="1"/>
  <c r="D47"/>
  <c r="P47" s="1"/>
  <c r="C71"/>
  <c r="O71" s="1"/>
  <c r="G68"/>
  <c r="D52"/>
  <c r="G67"/>
  <c r="G63"/>
  <c r="G62"/>
  <c r="G61" s="1"/>
  <c r="G53"/>
  <c r="G52" s="1"/>
  <c r="G51"/>
  <c r="G50"/>
  <c r="G48"/>
  <c r="G47" s="1"/>
  <c r="L85"/>
  <c r="L84"/>
  <c r="L83"/>
  <c r="M81"/>
  <c r="L81"/>
  <c r="L80"/>
  <c r="L79"/>
  <c r="L77"/>
  <c r="M76"/>
  <c r="L76"/>
  <c r="L72"/>
  <c r="L67"/>
  <c r="L62"/>
  <c r="L53"/>
  <c r="L51"/>
  <c r="L50"/>
  <c r="M48"/>
  <c r="L48"/>
  <c r="L42"/>
  <c r="L41"/>
  <c r="L40"/>
  <c r="L39"/>
  <c r="L38"/>
  <c r="L36"/>
  <c r="L35"/>
  <c r="L30"/>
  <c r="L29"/>
  <c r="L27"/>
  <c r="L26"/>
  <c r="G42"/>
  <c r="G41"/>
  <c r="G40"/>
  <c r="G39"/>
  <c r="G38"/>
  <c r="G36"/>
  <c r="G35"/>
  <c r="G33"/>
  <c r="G32"/>
  <c r="G30"/>
  <c r="G29"/>
  <c r="G27"/>
  <c r="G26"/>
  <c r="C85"/>
  <c r="O85" s="1"/>
  <c r="C84"/>
  <c r="O84" s="1"/>
  <c r="C83"/>
  <c r="O83" s="1"/>
  <c r="C81"/>
  <c r="O81" s="1"/>
  <c r="C80"/>
  <c r="O80" s="1"/>
  <c r="C79"/>
  <c r="O79" s="1"/>
  <c r="C72"/>
  <c r="O72" s="1"/>
  <c r="C67"/>
  <c r="O67" s="1"/>
  <c r="C63"/>
  <c r="O63" s="1"/>
  <c r="C62"/>
  <c r="O62" s="1"/>
  <c r="C53"/>
  <c r="C51"/>
  <c r="O51" s="1"/>
  <c r="C50"/>
  <c r="O50" s="1"/>
  <c r="C48"/>
  <c r="C42"/>
  <c r="O42" s="1"/>
  <c r="C41"/>
  <c r="O41" s="1"/>
  <c r="C40"/>
  <c r="O40" s="1"/>
  <c r="C39"/>
  <c r="C38"/>
  <c r="O38" s="1"/>
  <c r="C36"/>
  <c r="O36" s="1"/>
  <c r="C35"/>
  <c r="O35" s="1"/>
  <c r="C33"/>
  <c r="O33" s="1"/>
  <c r="C32"/>
  <c r="O32" s="1"/>
  <c r="C30"/>
  <c r="O30" s="1"/>
  <c r="C29"/>
  <c r="C27"/>
  <c r="C26"/>
  <c r="O26" s="1"/>
  <c r="N47"/>
  <c r="J47"/>
  <c r="I47"/>
  <c r="H47"/>
  <c r="F47"/>
  <c r="R47" s="1"/>
  <c r="H52"/>
  <c r="C68"/>
  <c r="O68" s="1"/>
  <c r="E47"/>
  <c r="Q47" s="1"/>
  <c r="C10"/>
  <c r="O10" s="1"/>
  <c r="D163"/>
  <c r="C16"/>
  <c r="O16" s="1"/>
  <c r="C141"/>
  <c r="O141" s="1"/>
  <c r="N10"/>
  <c r="G16"/>
  <c r="L18"/>
  <c r="C18"/>
  <c r="G18"/>
  <c r="M17"/>
  <c r="L17"/>
  <c r="C17"/>
  <c r="O17" s="1"/>
  <c r="G17"/>
  <c r="G141" s="1"/>
  <c r="G10"/>
  <c r="L10"/>
  <c r="M10"/>
  <c r="C14"/>
  <c r="O14" s="1"/>
  <c r="G14"/>
  <c r="L14"/>
  <c r="M14"/>
  <c r="K96"/>
  <c r="M16"/>
  <c r="L16"/>
  <c r="G71"/>
  <c r="G78"/>
  <c r="L140"/>
  <c r="M19"/>
  <c r="C142"/>
  <c r="L142"/>
  <c r="C140"/>
  <c r="K137" l="1"/>
  <c r="O137"/>
  <c r="O136"/>
  <c r="K135"/>
  <c r="O135"/>
  <c r="D133"/>
  <c r="P133" s="1"/>
  <c r="P134"/>
  <c r="O132"/>
  <c r="K130"/>
  <c r="O130"/>
  <c r="O129"/>
  <c r="C127"/>
  <c r="P127"/>
  <c r="K128"/>
  <c r="O128"/>
  <c r="K127"/>
  <c r="O127"/>
  <c r="K122"/>
  <c r="O122"/>
  <c r="K113"/>
  <c r="O113"/>
  <c r="O116"/>
  <c r="O112"/>
  <c r="O114"/>
  <c r="O119"/>
  <c r="K118"/>
  <c r="O118"/>
  <c r="D111"/>
  <c r="P111" s="1"/>
  <c r="P117"/>
  <c r="K109"/>
  <c r="O109"/>
  <c r="K110"/>
  <c r="O110"/>
  <c r="O106"/>
  <c r="K107"/>
  <c r="O107"/>
  <c r="C102"/>
  <c r="P102"/>
  <c r="K103"/>
  <c r="O103"/>
  <c r="N88"/>
  <c r="R88"/>
  <c r="M88"/>
  <c r="D88"/>
  <c r="P88" s="1"/>
  <c r="P89"/>
  <c r="K73"/>
  <c r="O73"/>
  <c r="K70"/>
  <c r="O70"/>
  <c r="C69"/>
  <c r="O69" s="1"/>
  <c r="L69"/>
  <c r="O66"/>
  <c r="O65"/>
  <c r="C61"/>
  <c r="O61" s="1"/>
  <c r="K60"/>
  <c r="O60"/>
  <c r="K59"/>
  <c r="O59"/>
  <c r="K58"/>
  <c r="O58"/>
  <c r="K57"/>
  <c r="O57"/>
  <c r="K53"/>
  <c r="O53"/>
  <c r="C52"/>
  <c r="O52" s="1"/>
  <c r="P52"/>
  <c r="K51"/>
  <c r="C47"/>
  <c r="O48"/>
  <c r="K46"/>
  <c r="O46"/>
  <c r="O45"/>
  <c r="K44"/>
  <c r="O44"/>
  <c r="K39"/>
  <c r="O39"/>
  <c r="C28"/>
  <c r="O28" s="1"/>
  <c r="O29"/>
  <c r="K27"/>
  <c r="O27"/>
  <c r="K74"/>
  <c r="N19"/>
  <c r="K22"/>
  <c r="L78"/>
  <c r="C78"/>
  <c r="K29"/>
  <c r="K61"/>
  <c r="L47"/>
  <c r="C31"/>
  <c r="O31" s="1"/>
  <c r="K38"/>
  <c r="K21"/>
  <c r="L52"/>
  <c r="K52"/>
  <c r="M47"/>
  <c r="C89"/>
  <c r="K84"/>
  <c r="M78"/>
  <c r="K68"/>
  <c r="K40"/>
  <c r="L54"/>
  <c r="K62"/>
  <c r="K83"/>
  <c r="L133"/>
  <c r="C121"/>
  <c r="L121"/>
  <c r="C134"/>
  <c r="L134"/>
  <c r="C25"/>
  <c r="O25" s="1"/>
  <c r="K18"/>
  <c r="L25"/>
  <c r="H138"/>
  <c r="C117"/>
  <c r="L117"/>
  <c r="D108"/>
  <c r="L109"/>
  <c r="C104"/>
  <c r="I24"/>
  <c r="I138" s="1"/>
  <c r="K35"/>
  <c r="J24"/>
  <c r="J138" s="1"/>
  <c r="K48"/>
  <c r="K16"/>
  <c r="K14"/>
  <c r="K10"/>
  <c r="G88"/>
  <c r="K80"/>
  <c r="K72"/>
  <c r="K54"/>
  <c r="K50"/>
  <c r="L43"/>
  <c r="K41"/>
  <c r="K30"/>
  <c r="L28"/>
  <c r="G25"/>
  <c r="K17"/>
  <c r="G140"/>
  <c r="K140" s="1"/>
  <c r="G142"/>
  <c r="K142" s="1"/>
  <c r="M141"/>
  <c r="C54"/>
  <c r="O54" s="1"/>
  <c r="K141"/>
  <c r="K67"/>
  <c r="D24"/>
  <c r="P24" s="1"/>
  <c r="K81"/>
  <c r="E24"/>
  <c r="K19"/>
  <c r="F24"/>
  <c r="R24" s="1"/>
  <c r="C43"/>
  <c r="K42"/>
  <c r="K79"/>
  <c r="K77"/>
  <c r="K26"/>
  <c r="K36"/>
  <c r="G28"/>
  <c r="K28" s="1"/>
  <c r="M140"/>
  <c r="K76"/>
  <c r="K85"/>
  <c r="L34"/>
  <c r="L88"/>
  <c r="G31"/>
  <c r="D126"/>
  <c r="P126" s="1"/>
  <c r="L141"/>
  <c r="O140" l="1"/>
  <c r="O142"/>
  <c r="C133"/>
  <c r="O133" s="1"/>
  <c r="K134"/>
  <c r="O134"/>
  <c r="K121"/>
  <c r="O121"/>
  <c r="C111"/>
  <c r="O111" s="1"/>
  <c r="L111"/>
  <c r="K117"/>
  <c r="O117"/>
  <c r="D101"/>
  <c r="P101" s="1"/>
  <c r="P108"/>
  <c r="K104"/>
  <c r="O104"/>
  <c r="K102"/>
  <c r="O102"/>
  <c r="C88"/>
  <c r="O88" s="1"/>
  <c r="K89"/>
  <c r="O89"/>
  <c r="K78"/>
  <c r="O78"/>
  <c r="O47"/>
  <c r="C24"/>
  <c r="E138"/>
  <c r="Q138" s="1"/>
  <c r="Q24"/>
  <c r="K69"/>
  <c r="K43"/>
  <c r="O43"/>
  <c r="K25"/>
  <c r="K47"/>
  <c r="C108"/>
  <c r="L108"/>
  <c r="F138"/>
  <c r="M24"/>
  <c r="L24"/>
  <c r="G24"/>
  <c r="G138" s="1"/>
  <c r="C126"/>
  <c r="D120"/>
  <c r="K133" l="1"/>
  <c r="K111"/>
  <c r="L101"/>
  <c r="C101"/>
  <c r="K101" s="1"/>
  <c r="K126"/>
  <c r="O126"/>
  <c r="L120"/>
  <c r="P120"/>
  <c r="K108"/>
  <c r="O108"/>
  <c r="K88"/>
  <c r="M138"/>
  <c r="N138"/>
  <c r="R138"/>
  <c r="K34"/>
  <c r="O34"/>
  <c r="C120"/>
  <c r="D138"/>
  <c r="P138" s="1"/>
  <c r="O101" l="1"/>
  <c r="K120"/>
  <c r="O120"/>
  <c r="K24"/>
  <c r="O24"/>
  <c r="L138"/>
  <c r="C138"/>
  <c r="K138" l="1"/>
  <c r="O138"/>
</calcChain>
</file>

<file path=xl/comments1.xml><?xml version="1.0" encoding="utf-8"?>
<comments xmlns="http://schemas.openxmlformats.org/spreadsheetml/2006/main">
  <authors>
    <author>User</author>
  </authors>
  <commentList>
    <comment ref="B4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нет в дод3</t>
        </r>
      </text>
    </comment>
  </commentList>
</comments>
</file>

<file path=xl/sharedStrings.xml><?xml version="1.0" encoding="utf-8"?>
<sst xmlns="http://schemas.openxmlformats.org/spreadsheetml/2006/main" count="251" uniqueCount="208">
  <si>
    <t>в  тому  числі</t>
  </si>
  <si>
    <t xml:space="preserve">   в тому  числі</t>
  </si>
  <si>
    <t>в  тому   числі</t>
  </si>
  <si>
    <t>Всього</t>
  </si>
  <si>
    <t>КТКВ</t>
  </si>
  <si>
    <t>Найменування  показника</t>
  </si>
  <si>
    <t>загальний фонд</t>
  </si>
  <si>
    <t>спеціальний фонд</t>
  </si>
  <si>
    <t>загальний  фонд</t>
  </si>
  <si>
    <t>Житлово-комунальне господарство</t>
  </si>
  <si>
    <t>Соціальний  захист  та соціальне забезпечення</t>
  </si>
  <si>
    <t>Резервний фонд</t>
  </si>
  <si>
    <t>в т.ч.</t>
  </si>
  <si>
    <t>оплата праці з нарахуваннями</t>
  </si>
  <si>
    <t>оплата комунальних послуг та енергоносіїв</t>
  </si>
  <si>
    <t>продукти харчування</t>
  </si>
  <si>
    <t>оплата праці з нарахуваннями працівників бюджетних установ</t>
  </si>
  <si>
    <t>оплата комунальних послуг та енергоносіїв, які спожиті бюджетними установами</t>
  </si>
  <si>
    <t xml:space="preserve">Освіта, всього- </t>
  </si>
  <si>
    <t>всього</t>
  </si>
  <si>
    <t xml:space="preserve">з них </t>
  </si>
  <si>
    <t>бюджет розвитку</t>
  </si>
  <si>
    <t>Реверсна дотація</t>
  </si>
  <si>
    <t>0100</t>
  </si>
  <si>
    <t>1000</t>
  </si>
  <si>
    <t>3000</t>
  </si>
  <si>
    <t>Державне управління, всього -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</si>
  <si>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</si>
  <si>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</si>
  <si>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3011</t>
  </si>
  <si>
    <t>3012</t>
  </si>
  <si>
    <t>Надання субсидій населенню для відшкодування витрат на оплату житлово-комунальних послуг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</si>
  <si>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</si>
  <si>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</si>
  <si>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</si>
  <si>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</si>
  <si>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3040</t>
  </si>
  <si>
    <t>3041</t>
  </si>
  <si>
    <t>3042</t>
  </si>
  <si>
    <t>3043</t>
  </si>
  <si>
    <t>3044</t>
  </si>
  <si>
    <t>3045</t>
  </si>
  <si>
    <t>3046</t>
  </si>
  <si>
    <t>3047</t>
  </si>
  <si>
    <t>3080</t>
  </si>
  <si>
    <t>3100</t>
  </si>
  <si>
    <t>3104</t>
  </si>
  <si>
    <t>3110</t>
  </si>
  <si>
    <t>3112</t>
  </si>
  <si>
    <t>3130</t>
  </si>
  <si>
    <t>3140</t>
  </si>
  <si>
    <t>3160</t>
  </si>
  <si>
    <t>3180</t>
  </si>
  <si>
    <t>3190</t>
  </si>
  <si>
    <t>Надання пільг окремим категоріям громадян з оплати послуг зв'язку</t>
  </si>
  <si>
    <t>Надання допомоги у зв`язку з вагітністю і пологами </t>
  </si>
  <si>
    <t>Надання допомоги при народженні дитини </t>
  </si>
  <si>
    <t>Надання допомоги на дітей, над якими встановлено опіку чи піклування </t>
  </si>
  <si>
    <t>Надання допомоги на дітей одиноким матерям </t>
  </si>
  <si>
    <t>Надання тимчасової державної допомоги дітям </t>
  </si>
  <si>
    <t>Надання допомоги при усиновленні дитини </t>
  </si>
  <si>
    <t>Надання державної соціальної допомоги малозабезпеченим сім`ям 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</si>
  <si>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</si>
  <si>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Заклади і заходи з питань дітей та їх соціального захисту</t>
  </si>
  <si>
    <t>Заходи державної політики з питань дітей та їх соціального захисту</t>
  </si>
  <si>
    <t>Здійснення соціальної роботи з вразливими категоріями населення</t>
  </si>
  <si>
    <t>Заходи державної політики з питань сім'ї</t>
  </si>
  <si>
    <t>Соціальний захист ветеранів війни та праці</t>
  </si>
  <si>
    <t>3030</t>
  </si>
  <si>
    <t>3031</t>
  </si>
  <si>
    <t>4000</t>
  </si>
  <si>
    <t>Культура і мистецтво</t>
  </si>
  <si>
    <t>5000</t>
  </si>
  <si>
    <t>Фізична культура і спорт</t>
  </si>
  <si>
    <t>5011</t>
  </si>
  <si>
    <t>Проведення навчально-тренувальних зборів і змагань з олімпійських видів спорту</t>
  </si>
  <si>
    <t>5012</t>
  </si>
  <si>
    <t>Проведення навчально-тренувальних зборів і змагань з неолімпійських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</si>
  <si>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</si>
  <si>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</si>
  <si>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5061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</si>
  <si>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</si>
  <si>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Заходи з енергозбереження</t>
  </si>
  <si>
    <t>Внески до статутного капіталу суб'єктів господарювання</t>
  </si>
  <si>
    <t>Багатопрофільна стаціонарна медична допомога населенню</t>
  </si>
  <si>
    <t>Стоматологічна допомога населенню</t>
  </si>
  <si>
    <t>Програми і централізовані заходи у галузі охорони здоров'я</t>
  </si>
  <si>
    <t>Охорона здоров'я, всього-</t>
  </si>
  <si>
    <t>Надання пільг на оплату житлово-комунальних послуг окремим категоріям громадян відповідно до законодавства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</si>
  <si>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</si>
  <si>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3022</t>
  </si>
  <si>
    <t>Надання пільг з оплати послуг зв'язку,  інших передбачених законодавством пільг окремим категоріям громадян  та компенсації за пільговий проїзд окремих категорій громадян</t>
  </si>
  <si>
    <t>Надання інших пільг окремим категоріям громадян відповідно до законодавства</t>
  </si>
  <si>
    <t>3032</t>
  </si>
  <si>
    <t>Надання допомоги сім'ям з дітьми, малозабезпеченим сім'ям, тимчасової допомоги дітям</t>
  </si>
  <si>
    <t>Надання допомоги особам з інвалідністю, дітям з інвалідністю, особам, які не мають права на пенсію , непрацюючий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 за особою, яка досягла 80-річного віку</t>
  </si>
  <si>
    <t>Надання державної соціальної допомоги особам з інвалідністю  з дитинства та дітям з інвалідністю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</si>
  <si>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</si>
  <si>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Надання допомоги по  догляду за особами з інвалідністю    I чи II групи внаслідок психічного розладу</t>
  </si>
  <si>
    <t>3081</t>
  </si>
  <si>
    <t>3082</t>
  </si>
  <si>
    <t>3083</t>
  </si>
  <si>
    <t>Надання соціальних та реабілітаційних послуг громадянам похилого віку, особам з інвалідністю, дітям з інвалідністю  в установах соціального обслуговування</t>
  </si>
  <si>
    <t>Утримання та забезпечення діяльності центрів соціальних служб для сім'ї, дітей та молоді</t>
  </si>
  <si>
    <t>3120</t>
  </si>
  <si>
    <t>3121</t>
  </si>
  <si>
    <t>3123</t>
  </si>
  <si>
    <t>3133</t>
  </si>
  <si>
    <t>Інші заходи та заклади молодіжної політики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</si>
  <si>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</si>
  <si>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</si>
  <si>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</si>
  <si>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3192</t>
  </si>
  <si>
    <t>3210</t>
  </si>
  <si>
    <t>Організація та проведення громадських робіт</t>
  </si>
  <si>
    <t>3240</t>
  </si>
  <si>
    <t>Інші заклади та заходи</t>
  </si>
  <si>
    <t>Інші заходи у сфері соціального захисту і соціального забезпечення</t>
  </si>
  <si>
    <t>3242</t>
  </si>
  <si>
    <t>Утримання та ефективна експлуатація об’єктів житлово-комунального господарства</t>
  </si>
  <si>
    <t>Експлуатація та технічне обслуговування житлового фонду</t>
  </si>
  <si>
    <t>Забезпечення діяльності з виробництва, транспортування, постачання теплової енергії</t>
  </si>
  <si>
    <t>Забезпечення діяльності водопроводно-каналізаційного господарства</t>
  </si>
  <si>
    <t>Забезпечення надійної та безперебійної експлуатації ліфтів</t>
  </si>
  <si>
    <t>Впровадження засобів обліку витрат та регулювання споживання води та теплової енергії</t>
  </si>
  <si>
    <t>Інша діяльність, пов'язана з експлуатацією об'єктів житлово - комунального господарства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</si>
  <si>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</si>
  <si>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</si>
  <si>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Економічна діяльність</t>
  </si>
  <si>
    <t>Сільське, лісове, рибне господарство та мисливство</t>
  </si>
  <si>
    <t>Здійснення заходів із землеустрою</t>
  </si>
  <si>
    <t>Будівництво та регіональний розвиток</t>
  </si>
  <si>
    <t>Будівництво об'єктів житлово-комунального господарства</t>
  </si>
  <si>
    <t>Розроблення схем планування та забудови території (містобудівної документації)</t>
  </si>
  <si>
    <t>Реалізація інших заходів щодо соціально-економічного розвитку територій</t>
  </si>
  <si>
    <t>Транспорт та транспортна інфраструктура, дорожнє господарство</t>
  </si>
  <si>
    <t xml:space="preserve">Утримання та розвиток автомобільних доріг та дорожньої інфраструктури </t>
  </si>
  <si>
    <t>Утримання та розвиток автомобільних  доріг та дорожньої інфрасттруктури за рахунок коштів місцевого бюджету</t>
  </si>
  <si>
    <t>Інші програми та заходи, пов'язані з економічною діяльністю</t>
  </si>
  <si>
    <t>Сприяння розвитку малого та середнього підприємництва</t>
  </si>
  <si>
    <t>Проведення експертної грошової оцінки земельної ділянки чи права на неї</t>
  </si>
  <si>
    <t>Членські внески до асоціацій органів місцевого самоврядування</t>
  </si>
  <si>
    <t>Інша економічна діяльність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</si>
  <si>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</si>
  <si>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Інші заходи, пов'язані з економічною діяльністю</t>
  </si>
  <si>
    <t>7000</t>
  </si>
  <si>
    <t>7100</t>
  </si>
  <si>
    <t>7130</t>
  </si>
  <si>
    <t>7300</t>
  </si>
  <si>
    <t>7310</t>
  </si>
  <si>
    <t>7350</t>
  </si>
  <si>
    <t>7370</t>
  </si>
  <si>
    <t>7400</t>
  </si>
  <si>
    <t>7460</t>
  </si>
  <si>
    <t>7461</t>
  </si>
  <si>
    <t>7600</t>
  </si>
  <si>
    <t>7610</t>
  </si>
  <si>
    <t>7640</t>
  </si>
  <si>
    <t>7650</t>
  </si>
  <si>
    <t>7670</t>
  </si>
  <si>
    <t>7680</t>
  </si>
  <si>
    <t>7690</t>
  </si>
  <si>
    <t>7691</t>
  </si>
  <si>
    <t>7693</t>
  </si>
  <si>
    <t>Інша діяльність</t>
  </si>
  <si>
    <t>Захист населення і територій від надзвичайних ситуацій техногенного та природного характеру</t>
  </si>
  <si>
    <t xml:space="preserve">Заходи із запобігання та ліквідації надзвичайних ситуацій та наслідків  стихійного лиха </t>
  </si>
  <si>
    <t>Охорона навколишнього природного середовища</t>
  </si>
  <si>
    <t>Запобігання та ліквідація забруднення навколишнього природного середовища</t>
  </si>
  <si>
    <t xml:space="preserve">Охорона та раціональне використання природних ресурсів </t>
  </si>
  <si>
    <t>Природоохоронні заходи за рахунок цільових фондів</t>
  </si>
  <si>
    <t>Засоби масової інформації </t>
  </si>
  <si>
    <t>Фінансова підтримка засобів масової інформації</t>
  </si>
  <si>
    <t>Міжбюджетні трансферти</t>
  </si>
  <si>
    <t>Дотації з місцевого бюджету іншим</t>
  </si>
  <si>
    <t>Інші субвенції з місцевого бюджету</t>
  </si>
  <si>
    <t>Субвенція з місцевого бюджету державному бюджету на виконання програм соціально - економічного розвитку регіонів</t>
  </si>
  <si>
    <t>8000</t>
  </si>
  <si>
    <t>8100</t>
  </si>
  <si>
    <t>8110</t>
  </si>
  <si>
    <t>8300</t>
  </si>
  <si>
    <t>8310</t>
  </si>
  <si>
    <t>8311</t>
  </si>
  <si>
    <t>8340</t>
  </si>
  <si>
    <t>8400</t>
  </si>
  <si>
    <t>8410</t>
  </si>
  <si>
    <t>8700</t>
  </si>
  <si>
    <t>9000</t>
  </si>
  <si>
    <t>9100</t>
  </si>
  <si>
    <t>9110</t>
  </si>
  <si>
    <t>9770</t>
  </si>
  <si>
    <t>9800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</si>
  <si>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</si>
  <si>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Реалізація державної політики у молодіжній сфері</t>
  </si>
  <si>
    <t>Виконано за 1 квартал 2017 року</t>
  </si>
  <si>
    <t xml:space="preserve">РАЗОМ </t>
  </si>
  <si>
    <t>Виконано за 1 квартал 2018 року</t>
  </si>
  <si>
    <t>РАЗОМ</t>
  </si>
  <si>
    <t>Відхилення 2018/2017</t>
  </si>
  <si>
    <t>Разом</t>
  </si>
  <si>
    <t>Темп росту 2018/2017 (%)</t>
  </si>
  <si>
    <t>тис.грн.</t>
  </si>
  <si>
    <t>у 30 разів</t>
  </si>
  <si>
    <t>викл.</t>
  </si>
  <si>
    <t>Надання допомоги на догляд за дитиною віком до 3 років</t>
  </si>
  <si>
    <t>Показники міського бюджету міста Чорноморська за видатками за  1 квартал 2018 року порівняно з аналогічними показниками за відповідний період попереднього бюджетного періоду із зазначенням динаміки їх зміни</t>
  </si>
  <si>
    <t>Начальник фінансового управління</t>
  </si>
  <si>
    <t xml:space="preserve">О.М. Яковенко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</si>
</sst>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16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03">
    <xf numFmtId="0" fontId="0" fillId="0" borderId="0" xfId="0"/>
    <xf numFmtId="0" fontId="1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166" fontId="2" fillId="3" borderId="1" xfId="0" applyNumberFormat="1" applyFont="1" applyFill="1" applyBorder="1"/>
    <xf numFmtId="166" fontId="6" fillId="3" borderId="1" xfId="0" applyNumberFormat="1" applyFont="1" applyFill="1" applyBorder="1"/>
    <xf numFmtId="0" fontId="4" fillId="3" borderId="2" xfId="0" applyFont="1" applyFill="1" applyBorder="1" applyAlignment="1">
      <alignment horizontal="center"/>
    </xf>
    <xf numFmtId="166" fontId="1" fillId="3" borderId="1" xfId="0" applyNumberFormat="1" applyFont="1" applyFill="1" applyBorder="1"/>
    <xf numFmtId="166" fontId="4" fillId="3" borderId="1" xfId="0" applyNumberFormat="1" applyFont="1" applyFill="1" applyBorder="1"/>
    <xf numFmtId="166" fontId="3" fillId="3" borderId="1" xfId="0" applyNumberFormat="1" applyFont="1" applyFill="1" applyBorder="1"/>
    <xf numFmtId="4" fontId="2" fillId="3" borderId="0" xfId="0" applyNumberFormat="1" applyFont="1" applyFill="1" applyBorder="1"/>
    <xf numFmtId="166" fontId="7" fillId="3" borderId="1" xfId="0" applyNumberFormat="1" applyFont="1" applyFill="1" applyBorder="1"/>
    <xf numFmtId="4" fontId="3" fillId="3" borderId="0" xfId="0" applyNumberFormat="1" applyFont="1" applyFill="1" applyBorder="1"/>
    <xf numFmtId="0" fontId="4" fillId="3" borderId="3" xfId="0" applyFont="1" applyFill="1" applyBorder="1" applyAlignment="1">
      <alignment horizontal="center"/>
    </xf>
    <xf numFmtId="0" fontId="4" fillId="3" borderId="0" xfId="0" applyFont="1" applyFill="1"/>
    <xf numFmtId="0" fontId="1" fillId="3" borderId="0" xfId="0" applyFont="1" applyFill="1"/>
    <xf numFmtId="0" fontId="4" fillId="3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0" xfId="0" applyFont="1" applyFill="1" applyAlignment="1">
      <alignment horizontal="left" wrapText="1"/>
    </xf>
    <xf numFmtId="4" fontId="4" fillId="3" borderId="0" xfId="0" applyNumberFormat="1" applyFont="1" applyFill="1" applyBorder="1"/>
    <xf numFmtId="166" fontId="3" fillId="3" borderId="0" xfId="0" applyNumberFormat="1" applyFont="1" applyFill="1" applyBorder="1"/>
    <xf numFmtId="164" fontId="3" fillId="3" borderId="1" xfId="0" applyNumberFormat="1" applyFont="1" applyFill="1" applyBorder="1"/>
    <xf numFmtId="0" fontId="1" fillId="3" borderId="1" xfId="0" applyFont="1" applyFill="1" applyBorder="1"/>
    <xf numFmtId="0" fontId="2" fillId="3" borderId="1" xfId="0" applyFont="1" applyFill="1" applyBorder="1"/>
    <xf numFmtId="0" fontId="4" fillId="3" borderId="1" xfId="0" applyFont="1" applyFill="1" applyBorder="1"/>
    <xf numFmtId="0" fontId="6" fillId="3" borderId="1" xfId="0" applyFont="1" applyFill="1" applyBorder="1"/>
    <xf numFmtId="166" fontId="1" fillId="3" borderId="0" xfId="0" applyNumberFormat="1" applyFont="1" applyFill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0" xfId="0" applyFont="1" applyFill="1" applyBorder="1"/>
    <xf numFmtId="0" fontId="6" fillId="3" borderId="0" xfId="0" applyFont="1" applyFill="1" applyBorder="1"/>
    <xf numFmtId="49" fontId="2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6" fontId="4" fillId="0" borderId="1" xfId="0" applyNumberFormat="1" applyFont="1" applyFill="1" applyBorder="1"/>
    <xf numFmtId="166" fontId="1" fillId="0" borderId="1" xfId="0" applyNumberFormat="1" applyFont="1" applyFill="1" applyBorder="1"/>
    <xf numFmtId="0" fontId="1" fillId="0" borderId="0" xfId="0" applyFont="1" applyFill="1"/>
    <xf numFmtId="166" fontId="3" fillId="0" borderId="1" xfId="0" applyNumberFormat="1" applyFont="1" applyFill="1" applyBorder="1"/>
    <xf numFmtId="166" fontId="2" fillId="0" borderId="1" xfId="0" applyNumberFormat="1" applyFont="1" applyFill="1" applyBorder="1"/>
    <xf numFmtId="0" fontId="6" fillId="0" borderId="1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4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/>
    <xf numFmtId="164" fontId="7" fillId="3" borderId="1" xfId="0" applyNumberFormat="1" applyFont="1" applyFill="1" applyBorder="1"/>
    <xf numFmtId="0" fontId="12" fillId="3" borderId="0" xfId="0" applyFont="1" applyFill="1" applyAlignment="1">
      <alignment wrapText="1"/>
    </xf>
    <xf numFmtId="0" fontId="6" fillId="3" borderId="1" xfId="0" applyFont="1" applyFill="1" applyBorder="1" applyAlignment="1">
      <alignment horizontal="center"/>
    </xf>
    <xf numFmtId="166" fontId="6" fillId="0" borderId="1" xfId="0" applyNumberFormat="1" applyFont="1" applyFill="1" applyBorder="1"/>
    <xf numFmtId="0" fontId="13" fillId="3" borderId="1" xfId="0" applyFont="1" applyFill="1" applyBorder="1" applyAlignment="1">
      <alignment wrapText="1"/>
    </xf>
    <xf numFmtId="0" fontId="13" fillId="3" borderId="0" xfId="0" applyFont="1" applyFill="1" applyAlignment="1">
      <alignment wrapText="1"/>
    </xf>
    <xf numFmtId="0" fontId="1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3" fillId="3" borderId="1" xfId="2" applyFont="1" applyFill="1" applyBorder="1" applyAlignment="1">
      <alignment wrapText="1"/>
    </xf>
    <xf numFmtId="0" fontId="4" fillId="3" borderId="1" xfId="2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/>
    </xf>
    <xf numFmtId="0" fontId="3" fillId="3" borderId="0" xfId="0" applyFont="1" applyFill="1"/>
    <xf numFmtId="0" fontId="14" fillId="3" borderId="0" xfId="0" applyFont="1" applyFill="1" applyAlignment="1"/>
    <xf numFmtId="0" fontId="14" fillId="3" borderId="1" xfId="0" applyFont="1" applyFill="1" applyBorder="1" applyAlignment="1"/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3" borderId="0" xfId="0" applyNumberFormat="1" applyFont="1" applyFill="1"/>
    <xf numFmtId="0" fontId="3" fillId="0" borderId="0" xfId="0" applyFont="1" applyFill="1"/>
    <xf numFmtId="0" fontId="6" fillId="0" borderId="0" xfId="0" applyFont="1" applyFill="1"/>
    <xf numFmtId="0" fontId="6" fillId="3" borderId="0" xfId="0" applyFont="1" applyFill="1"/>
    <xf numFmtId="0" fontId="11" fillId="3" borderId="1" xfId="0" applyFont="1" applyFill="1" applyBorder="1" applyAlignment="1">
      <alignment wrapText="1"/>
    </xf>
    <xf numFmtId="0" fontId="13" fillId="3" borderId="1" xfId="0" applyFont="1" applyFill="1" applyBorder="1" applyAlignment="1"/>
    <xf numFmtId="0" fontId="3" fillId="3" borderId="1" xfId="0" applyFont="1" applyFill="1" applyBorder="1" applyAlignment="1">
      <alignment horizontal="center"/>
    </xf>
    <xf numFmtId="0" fontId="3" fillId="3" borderId="0" xfId="0" applyFont="1" applyFill="1" applyBorder="1"/>
    <xf numFmtId="0" fontId="7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4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</cellXfs>
  <cellStyles count="3">
    <cellStyle name="Обычный" xfId="0" builtinId="0"/>
    <cellStyle name="Обычный_дод 2" xfId="1"/>
    <cellStyle name="Обычный_дод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3"/>
  <sheetViews>
    <sheetView tabSelected="1" view="pageBreakPreview" zoomScale="75" zoomScaleNormal="80" zoomScaleSheetLayoutView="75" workbookViewId="0">
      <pane xSplit="2" ySplit="9" topLeftCell="C10" activePane="bottomRight" state="frozen"/>
      <selection pane="topRight" activeCell="C1" sqref="C1"/>
      <selection pane="bottomLeft" activeCell="A13" sqref="A13"/>
      <selection pane="bottomRight" activeCell="B147" sqref="B147"/>
    </sheetView>
  </sheetViews>
  <sheetFormatPr defaultRowHeight="15.75"/>
  <cols>
    <col min="1" max="1" width="10.28515625" style="14" customWidth="1"/>
    <col min="2" max="2" width="68.28515625" style="14" customWidth="1"/>
    <col min="3" max="3" width="12.7109375" style="14" customWidth="1"/>
    <col min="4" max="4" width="11.85546875" style="14" customWidth="1"/>
    <col min="5" max="5" width="11.5703125" style="14" customWidth="1"/>
    <col min="6" max="6" width="11.42578125" style="14" customWidth="1"/>
    <col min="7" max="7" width="11.140625" style="14" customWidth="1"/>
    <col min="8" max="8" width="12.5703125" style="14" customWidth="1"/>
    <col min="9" max="9" width="11.42578125" style="14" customWidth="1"/>
    <col min="10" max="10" width="11.7109375" style="14" customWidth="1"/>
    <col min="11" max="11" width="10.7109375" style="14" customWidth="1"/>
    <col min="12" max="12" width="12.28515625" style="14" customWidth="1"/>
    <col min="13" max="13" width="11.140625" style="14" customWidth="1"/>
    <col min="14" max="14" width="10.42578125" style="14" customWidth="1"/>
    <col min="15" max="15" width="11.85546875" style="14" customWidth="1"/>
    <col min="16" max="16" width="13" style="14" customWidth="1"/>
    <col min="17" max="17" width="11.5703125" style="14" customWidth="1"/>
    <col min="18" max="18" width="11.7109375" style="14" customWidth="1"/>
    <col min="19" max="16384" width="9.140625" style="14"/>
  </cols>
  <sheetData>
    <row r="1" spans="1:18" ht="16.5" customHeight="1">
      <c r="I1" s="17"/>
      <c r="J1" s="17"/>
      <c r="K1" s="91"/>
      <c r="L1" s="91"/>
      <c r="M1" s="91"/>
      <c r="N1" s="91"/>
      <c r="O1" s="91"/>
      <c r="P1" s="91"/>
      <c r="Q1" s="91"/>
      <c r="R1" s="91"/>
    </row>
    <row r="2" spans="1:18" ht="49.5" customHeight="1">
      <c r="A2" s="87" t="s">
        <v>205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</row>
    <row r="3" spans="1:18" s="61" customFormat="1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82"/>
      <c r="O3" s="82"/>
      <c r="P3" s="61" t="s">
        <v>201</v>
      </c>
      <c r="R3" s="82"/>
    </row>
    <row r="4" spans="1:18">
      <c r="A4" s="21"/>
      <c r="B4" s="21"/>
      <c r="C4" s="93" t="s">
        <v>194</v>
      </c>
      <c r="D4" s="93"/>
      <c r="E4" s="93"/>
      <c r="F4" s="93"/>
      <c r="G4" s="93" t="s">
        <v>196</v>
      </c>
      <c r="H4" s="93"/>
      <c r="I4" s="93"/>
      <c r="J4" s="93"/>
      <c r="K4" s="88" t="s">
        <v>200</v>
      </c>
      <c r="L4" s="89"/>
      <c r="M4" s="89"/>
      <c r="N4" s="90"/>
      <c r="O4" s="88" t="s">
        <v>198</v>
      </c>
      <c r="P4" s="89"/>
      <c r="Q4" s="89"/>
      <c r="R4" s="90"/>
    </row>
    <row r="5" spans="1:18">
      <c r="A5" s="97" t="s">
        <v>4</v>
      </c>
      <c r="B5" s="84" t="s">
        <v>5</v>
      </c>
      <c r="C5" s="84" t="s">
        <v>195</v>
      </c>
      <c r="D5" s="93" t="s">
        <v>0</v>
      </c>
      <c r="E5" s="93"/>
      <c r="F5" s="93"/>
      <c r="G5" s="84" t="s">
        <v>197</v>
      </c>
      <c r="H5" s="100" t="s">
        <v>1</v>
      </c>
      <c r="I5" s="101"/>
      <c r="J5" s="102"/>
      <c r="K5" s="94" t="s">
        <v>199</v>
      </c>
      <c r="L5" s="93" t="s">
        <v>2</v>
      </c>
      <c r="M5" s="93"/>
      <c r="N5" s="93"/>
      <c r="O5" s="94" t="s">
        <v>199</v>
      </c>
      <c r="P5" s="93" t="s">
        <v>2</v>
      </c>
      <c r="Q5" s="93"/>
      <c r="R5" s="93"/>
    </row>
    <row r="6" spans="1:18" ht="15.75" customHeight="1">
      <c r="A6" s="98"/>
      <c r="B6" s="85"/>
      <c r="C6" s="85"/>
      <c r="D6" s="94" t="s">
        <v>6</v>
      </c>
      <c r="E6" s="94" t="s">
        <v>7</v>
      </c>
      <c r="F6" s="94"/>
      <c r="G6" s="85"/>
      <c r="H6" s="84" t="s">
        <v>8</v>
      </c>
      <c r="I6" s="94" t="s">
        <v>7</v>
      </c>
      <c r="J6" s="94"/>
      <c r="K6" s="95"/>
      <c r="L6" s="94" t="s">
        <v>6</v>
      </c>
      <c r="M6" s="94" t="s">
        <v>7</v>
      </c>
      <c r="N6" s="94"/>
      <c r="O6" s="95"/>
      <c r="P6" s="94" t="s">
        <v>6</v>
      </c>
      <c r="Q6" s="94" t="s">
        <v>7</v>
      </c>
      <c r="R6" s="94"/>
    </row>
    <row r="7" spans="1:18">
      <c r="A7" s="98"/>
      <c r="B7" s="85"/>
      <c r="C7" s="85"/>
      <c r="D7" s="95"/>
      <c r="E7" s="96" t="s">
        <v>19</v>
      </c>
      <c r="F7" s="42" t="s">
        <v>20</v>
      </c>
      <c r="G7" s="85"/>
      <c r="H7" s="85"/>
      <c r="I7" s="96" t="s">
        <v>19</v>
      </c>
      <c r="J7" s="42" t="s">
        <v>20</v>
      </c>
      <c r="K7" s="95"/>
      <c r="L7" s="95"/>
      <c r="M7" s="96" t="s">
        <v>19</v>
      </c>
      <c r="N7" s="42" t="s">
        <v>20</v>
      </c>
      <c r="O7" s="95"/>
      <c r="P7" s="95"/>
      <c r="Q7" s="96" t="s">
        <v>19</v>
      </c>
      <c r="R7" s="44" t="s">
        <v>20</v>
      </c>
    </row>
    <row r="8" spans="1:18" ht="49.5" customHeight="1">
      <c r="A8" s="99"/>
      <c r="B8" s="86"/>
      <c r="C8" s="86"/>
      <c r="D8" s="95"/>
      <c r="E8" s="96"/>
      <c r="F8" s="42" t="s">
        <v>21</v>
      </c>
      <c r="G8" s="86"/>
      <c r="H8" s="86"/>
      <c r="I8" s="96"/>
      <c r="J8" s="42" t="s">
        <v>21</v>
      </c>
      <c r="K8" s="95"/>
      <c r="L8" s="95"/>
      <c r="M8" s="96"/>
      <c r="N8" s="42" t="s">
        <v>21</v>
      </c>
      <c r="O8" s="95"/>
      <c r="P8" s="95"/>
      <c r="Q8" s="96"/>
      <c r="R8" s="44" t="s">
        <v>21</v>
      </c>
    </row>
    <row r="9" spans="1:18" s="13" customFormat="1" ht="16.5" customHeight="1">
      <c r="A9" s="5">
        <v>1</v>
      </c>
      <c r="B9" s="1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12">
        <v>9</v>
      </c>
      <c r="J9" s="12">
        <v>10</v>
      </c>
      <c r="K9" s="16">
        <v>11</v>
      </c>
      <c r="L9" s="16">
        <v>12</v>
      </c>
      <c r="M9" s="16">
        <v>13</v>
      </c>
      <c r="N9" s="16">
        <v>14</v>
      </c>
      <c r="O9" s="16">
        <v>11</v>
      </c>
      <c r="P9" s="16">
        <v>12</v>
      </c>
      <c r="Q9" s="16">
        <v>13</v>
      </c>
      <c r="R9" s="16">
        <v>14</v>
      </c>
    </row>
    <row r="10" spans="1:18">
      <c r="A10" s="30" t="s">
        <v>23</v>
      </c>
      <c r="B10" s="22" t="s">
        <v>26</v>
      </c>
      <c r="C10" s="3">
        <f>D10+E10</f>
        <v>7844.5</v>
      </c>
      <c r="D10" s="3">
        <f>7271.2+6.3+253.5+99.6</f>
        <v>7630.6</v>
      </c>
      <c r="E10" s="3">
        <v>213.9</v>
      </c>
      <c r="F10" s="36">
        <v>122.4</v>
      </c>
      <c r="G10" s="3">
        <f>H10+I10</f>
        <v>11920.909670000001</v>
      </c>
      <c r="H10" s="3">
        <v>11758.716340000001</v>
      </c>
      <c r="I10" s="3">
        <v>162.19333</v>
      </c>
      <c r="J10" s="3">
        <f>118.01956</f>
        <v>118.01956</v>
      </c>
      <c r="K10" s="8">
        <f t="shared" ref="K10:N10" si="0">G10/C10*100</f>
        <v>151.96519433998344</v>
      </c>
      <c r="L10" s="8">
        <f t="shared" si="0"/>
        <v>154.09949859775116</v>
      </c>
      <c r="M10" s="8">
        <f t="shared" si="0"/>
        <v>75.826708742403</v>
      </c>
      <c r="N10" s="20">
        <f t="shared" si="0"/>
        <v>96.421209150326789</v>
      </c>
      <c r="O10" s="8">
        <f>G10-C10</f>
        <v>4076.4096700000009</v>
      </c>
      <c r="P10" s="8">
        <f>H10-D10</f>
        <v>4128.1163400000005</v>
      </c>
      <c r="Q10" s="8">
        <f>I10-E10</f>
        <v>-51.706670000000003</v>
      </c>
      <c r="R10" s="8">
        <f>J10-F10</f>
        <v>-4.3804400000000072</v>
      </c>
    </row>
    <row r="11" spans="1:18" hidden="1">
      <c r="A11" s="30"/>
      <c r="B11" s="23"/>
      <c r="C11" s="3"/>
      <c r="D11" s="3"/>
      <c r="E11" s="3"/>
      <c r="F11" s="3"/>
      <c r="G11" s="3"/>
      <c r="H11" s="3"/>
      <c r="I11" s="3"/>
      <c r="J11" s="3"/>
      <c r="K11" s="8"/>
      <c r="L11" s="8"/>
      <c r="M11" s="8"/>
      <c r="N11" s="20"/>
      <c r="O11" s="8"/>
      <c r="P11" s="8"/>
      <c r="Q11" s="8"/>
      <c r="R11" s="8"/>
    </row>
    <row r="12" spans="1:18" hidden="1">
      <c r="A12" s="30"/>
      <c r="B12" s="24"/>
      <c r="C12" s="4"/>
      <c r="D12" s="4"/>
      <c r="E12" s="4"/>
      <c r="F12" s="4"/>
      <c r="G12" s="4"/>
      <c r="H12" s="4"/>
      <c r="I12" s="4"/>
      <c r="J12" s="4"/>
      <c r="K12" s="4"/>
      <c r="L12" s="4"/>
      <c r="M12" s="8"/>
      <c r="N12" s="20"/>
      <c r="O12" s="4"/>
      <c r="P12" s="4"/>
      <c r="Q12" s="8"/>
      <c r="R12" s="8"/>
    </row>
    <row r="13" spans="1:18" hidden="1">
      <c r="A13" s="30"/>
      <c r="B13" s="24"/>
      <c r="C13" s="4"/>
      <c r="D13" s="4"/>
      <c r="E13" s="4"/>
      <c r="F13" s="4"/>
      <c r="G13" s="4"/>
      <c r="H13" s="4"/>
      <c r="I13" s="4"/>
      <c r="J13" s="4"/>
      <c r="K13" s="4"/>
      <c r="L13" s="4"/>
      <c r="M13" s="8"/>
      <c r="N13" s="20"/>
      <c r="O13" s="4"/>
      <c r="P13" s="4"/>
      <c r="Q13" s="8"/>
      <c r="R13" s="8"/>
    </row>
    <row r="14" spans="1:18">
      <c r="A14" s="30" t="s">
        <v>24</v>
      </c>
      <c r="B14" s="22" t="s">
        <v>18</v>
      </c>
      <c r="C14" s="3">
        <f>D14+E14</f>
        <v>40710.6</v>
      </c>
      <c r="D14" s="3">
        <f>39540.4</f>
        <v>39540.400000000001</v>
      </c>
      <c r="E14" s="3">
        <v>1170.2</v>
      </c>
      <c r="F14" s="36">
        <v>1.3</v>
      </c>
      <c r="G14" s="3">
        <f>H14+I14</f>
        <v>53101.532339999998</v>
      </c>
      <c r="H14" s="3">
        <v>50542.064760000001</v>
      </c>
      <c r="I14" s="3">
        <v>2559.46758</v>
      </c>
      <c r="J14" s="3">
        <f>267.67319+120</f>
        <v>387.67318999999998</v>
      </c>
      <c r="K14" s="8">
        <f t="shared" ref="K14:L14" si="1">G14/C14*100</f>
        <v>130.43662422071893</v>
      </c>
      <c r="L14" s="8">
        <f t="shared" si="1"/>
        <v>127.82385802875034</v>
      </c>
      <c r="M14" s="8">
        <f>I14/E14*100</f>
        <v>218.72052469663305</v>
      </c>
      <c r="N14" s="20" t="s">
        <v>202</v>
      </c>
      <c r="O14" s="8">
        <f t="shared" ref="O14:O74" si="2">G14-C14</f>
        <v>12390.932339999999</v>
      </c>
      <c r="P14" s="8">
        <f t="shared" ref="P14:P74" si="3">H14-D14</f>
        <v>11001.66476</v>
      </c>
      <c r="Q14" s="8">
        <f t="shared" ref="Q14:Q74" si="4">I14-E14</f>
        <v>1389.26758</v>
      </c>
      <c r="R14" s="8">
        <f t="shared" ref="R14:R74" si="5">J14-F14</f>
        <v>386.37318999999997</v>
      </c>
    </row>
    <row r="15" spans="1:18">
      <c r="A15" s="30"/>
      <c r="B15" s="23" t="s">
        <v>12</v>
      </c>
      <c r="C15" s="3"/>
      <c r="D15" s="3"/>
      <c r="E15" s="3"/>
      <c r="F15" s="3"/>
      <c r="G15" s="3"/>
      <c r="H15" s="3"/>
      <c r="I15" s="3"/>
      <c r="J15" s="3"/>
      <c r="K15" s="8"/>
      <c r="L15" s="8"/>
      <c r="M15" s="8"/>
      <c r="N15" s="20"/>
      <c r="O15" s="8"/>
      <c r="P15" s="8"/>
      <c r="Q15" s="8"/>
      <c r="R15" s="8"/>
    </row>
    <row r="16" spans="1:18">
      <c r="A16" s="30"/>
      <c r="B16" s="24" t="s">
        <v>13</v>
      </c>
      <c r="C16" s="4">
        <f t="shared" ref="C16:C23" si="6">D16+E16</f>
        <v>33290.799999999996</v>
      </c>
      <c r="D16" s="4">
        <v>33233.599999999999</v>
      </c>
      <c r="E16" s="4">
        <v>57.2</v>
      </c>
      <c r="F16" s="4"/>
      <c r="G16" s="4">
        <f t="shared" ref="G16:G24" si="7">H16+I16</f>
        <v>42013.121980000004</v>
      </c>
      <c r="H16" s="4">
        <f>34309.296+7593.79006</f>
        <v>41903.086060000001</v>
      </c>
      <c r="I16" s="4">
        <f>90.18254+19.85338</f>
        <v>110.03592</v>
      </c>
      <c r="J16" s="4"/>
      <c r="K16" s="4">
        <f t="shared" ref="K16:M18" si="8">G16/C16*100</f>
        <v>126.20039764739811</v>
      </c>
      <c r="L16" s="4">
        <f t="shared" si="8"/>
        <v>126.0865090149728</v>
      </c>
      <c r="M16" s="4">
        <f t="shared" si="8"/>
        <v>192.37048951048951</v>
      </c>
      <c r="N16" s="20"/>
      <c r="O16" s="4">
        <f t="shared" si="2"/>
        <v>8722.3219800000079</v>
      </c>
      <c r="P16" s="4">
        <f t="shared" si="3"/>
        <v>8669.4860600000029</v>
      </c>
      <c r="Q16" s="4">
        <f t="shared" si="4"/>
        <v>52.835920000000002</v>
      </c>
      <c r="R16" s="4"/>
    </row>
    <row r="17" spans="1:18">
      <c r="A17" s="30"/>
      <c r="B17" s="24" t="s">
        <v>15</v>
      </c>
      <c r="C17" s="4">
        <f t="shared" si="6"/>
        <v>2051.6</v>
      </c>
      <c r="D17" s="4">
        <v>957.4</v>
      </c>
      <c r="E17" s="4">
        <v>1094.2</v>
      </c>
      <c r="F17" s="4"/>
      <c r="G17" s="4">
        <f t="shared" si="7"/>
        <v>2880.1487099999999</v>
      </c>
      <c r="H17" s="4">
        <v>1302.71468</v>
      </c>
      <c r="I17" s="4">
        <v>1577.4340299999999</v>
      </c>
      <c r="J17" s="4"/>
      <c r="K17" s="4">
        <f t="shared" si="8"/>
        <v>140.38548986157147</v>
      </c>
      <c r="L17" s="4">
        <f t="shared" si="8"/>
        <v>136.06796323375809</v>
      </c>
      <c r="M17" s="4">
        <f t="shared" si="8"/>
        <v>144.16322701517089</v>
      </c>
      <c r="N17" s="20"/>
      <c r="O17" s="4">
        <f t="shared" si="2"/>
        <v>828.54871000000003</v>
      </c>
      <c r="P17" s="4">
        <f t="shared" si="3"/>
        <v>345.31468000000007</v>
      </c>
      <c r="Q17" s="4">
        <f t="shared" si="4"/>
        <v>483.23402999999985</v>
      </c>
      <c r="R17" s="4"/>
    </row>
    <row r="18" spans="1:18">
      <c r="A18" s="43"/>
      <c r="B18" s="24" t="s">
        <v>14</v>
      </c>
      <c r="C18" s="4">
        <f t="shared" si="6"/>
        <v>4984.1000000000004</v>
      </c>
      <c r="D18" s="4">
        <v>4984.1000000000004</v>
      </c>
      <c r="E18" s="4"/>
      <c r="F18" s="4"/>
      <c r="G18" s="4">
        <f t="shared" si="7"/>
        <v>6554.18887</v>
      </c>
      <c r="H18" s="4">
        <v>6554.18887</v>
      </c>
      <c r="I18" s="4"/>
      <c r="J18" s="4"/>
      <c r="K18" s="4">
        <f t="shared" si="8"/>
        <v>131.50195361248771</v>
      </c>
      <c r="L18" s="4">
        <f t="shared" si="8"/>
        <v>131.50195361248771</v>
      </c>
      <c r="M18" s="4"/>
      <c r="N18" s="20"/>
      <c r="O18" s="4">
        <f t="shared" si="2"/>
        <v>1570.0888699999996</v>
      </c>
      <c r="P18" s="4">
        <f t="shared" si="3"/>
        <v>1570.0888699999996</v>
      </c>
      <c r="Q18" s="4">
        <f t="shared" si="4"/>
        <v>0</v>
      </c>
      <c r="R18" s="4"/>
    </row>
    <row r="19" spans="1:18">
      <c r="A19" s="43">
        <v>2000</v>
      </c>
      <c r="B19" s="27" t="s">
        <v>87</v>
      </c>
      <c r="C19" s="8">
        <f>D19+E19</f>
        <v>25369.3</v>
      </c>
      <c r="D19" s="8">
        <f>D21+D22+D23</f>
        <v>22016.5</v>
      </c>
      <c r="E19" s="8">
        <f>E21+E22+E23</f>
        <v>3352.8</v>
      </c>
      <c r="F19" s="8">
        <f>F21+F22</f>
        <v>937.8</v>
      </c>
      <c r="G19" s="8">
        <f t="shared" si="7"/>
        <v>26823.759310000001</v>
      </c>
      <c r="H19" s="8">
        <f>H21+H22+H23</f>
        <v>22625.597450000001</v>
      </c>
      <c r="I19" s="8">
        <f>I21+I22</f>
        <v>4198.1618600000002</v>
      </c>
      <c r="J19" s="8">
        <f>J21+J22</f>
        <v>1435.7315000000001</v>
      </c>
      <c r="K19" s="8">
        <f t="shared" ref="K19:N19" si="9">G19/C19*100</f>
        <v>105.73314718971356</v>
      </c>
      <c r="L19" s="8">
        <f t="shared" si="9"/>
        <v>102.76654986033202</v>
      </c>
      <c r="M19" s="8">
        <f t="shared" si="9"/>
        <v>125.21360832736816</v>
      </c>
      <c r="N19" s="20">
        <f t="shared" si="9"/>
        <v>153.09570270846663</v>
      </c>
      <c r="O19" s="8">
        <f t="shared" si="2"/>
        <v>1454.459310000002</v>
      </c>
      <c r="P19" s="8">
        <f t="shared" si="3"/>
        <v>609.09745000000112</v>
      </c>
      <c r="Q19" s="8">
        <f t="shared" si="4"/>
        <v>845.36185999999998</v>
      </c>
      <c r="R19" s="8">
        <f t="shared" si="5"/>
        <v>497.93150000000014</v>
      </c>
    </row>
    <row r="20" spans="1:18">
      <c r="A20" s="43"/>
      <c r="B20" s="23" t="s">
        <v>12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20"/>
      <c r="O20" s="8"/>
      <c r="P20" s="8"/>
      <c r="Q20" s="8"/>
      <c r="R20" s="8"/>
    </row>
    <row r="21" spans="1:18">
      <c r="A21" s="16">
        <v>2010</v>
      </c>
      <c r="B21" s="24" t="s">
        <v>84</v>
      </c>
      <c r="C21" s="4">
        <f t="shared" si="6"/>
        <v>22679.800000000003</v>
      </c>
      <c r="D21" s="7">
        <v>20033.400000000001</v>
      </c>
      <c r="E21" s="7">
        <v>2646.4</v>
      </c>
      <c r="F21" s="7">
        <v>937.8</v>
      </c>
      <c r="G21" s="4">
        <f t="shared" si="7"/>
        <v>23665.821530000001</v>
      </c>
      <c r="H21" s="7">
        <v>20091.778760000001</v>
      </c>
      <c r="I21" s="7">
        <v>3574.04277</v>
      </c>
      <c r="J21" s="7">
        <v>1435.7315000000001</v>
      </c>
      <c r="K21" s="4">
        <f t="shared" ref="K21:M24" si="10">G21/C21*100</f>
        <v>104.34757594864152</v>
      </c>
      <c r="L21" s="4">
        <f t="shared" si="10"/>
        <v>100.2914071500594</v>
      </c>
      <c r="M21" s="4">
        <f t="shared" si="10"/>
        <v>135.0530067261185</v>
      </c>
      <c r="N21" s="46">
        <f>J21/F21*100</f>
        <v>153.09570270846663</v>
      </c>
      <c r="O21" s="4">
        <f t="shared" si="2"/>
        <v>986.02152999999817</v>
      </c>
      <c r="P21" s="4">
        <f t="shared" si="3"/>
        <v>58.378759999999602</v>
      </c>
      <c r="Q21" s="4">
        <f t="shared" si="4"/>
        <v>927.64276999999993</v>
      </c>
      <c r="R21" s="4">
        <f t="shared" si="5"/>
        <v>497.93150000000014</v>
      </c>
    </row>
    <row r="22" spans="1:18">
      <c r="A22" s="16">
        <v>2100</v>
      </c>
      <c r="B22" s="24" t="s">
        <v>85</v>
      </c>
      <c r="C22" s="4">
        <f t="shared" si="6"/>
        <v>2689.5</v>
      </c>
      <c r="D22" s="4">
        <v>1983.1</v>
      </c>
      <c r="E22" s="4">
        <v>706.4</v>
      </c>
      <c r="F22" s="4"/>
      <c r="G22" s="4">
        <f t="shared" si="7"/>
        <v>2860.4231500000001</v>
      </c>
      <c r="H22" s="4">
        <v>2236.3040599999999</v>
      </c>
      <c r="I22" s="4">
        <v>624.11909000000003</v>
      </c>
      <c r="J22" s="4"/>
      <c r="K22" s="4">
        <f t="shared" si="10"/>
        <v>106.35520171035509</v>
      </c>
      <c r="L22" s="4">
        <f t="shared" si="10"/>
        <v>112.76809338913823</v>
      </c>
      <c r="M22" s="4">
        <f t="shared" si="10"/>
        <v>88.352079558323908</v>
      </c>
      <c r="N22" s="46"/>
      <c r="O22" s="4">
        <f t="shared" si="2"/>
        <v>170.92315000000008</v>
      </c>
      <c r="P22" s="4">
        <f t="shared" si="3"/>
        <v>253.20406000000003</v>
      </c>
      <c r="Q22" s="4">
        <f t="shared" si="4"/>
        <v>-82.280909999999949</v>
      </c>
      <c r="R22" s="4">
        <f t="shared" si="5"/>
        <v>0</v>
      </c>
    </row>
    <row r="23" spans="1:18">
      <c r="A23" s="16">
        <v>2140</v>
      </c>
      <c r="B23" s="24" t="s">
        <v>86</v>
      </c>
      <c r="C23" s="4">
        <f t="shared" si="6"/>
        <v>0</v>
      </c>
      <c r="D23" s="4"/>
      <c r="E23" s="4"/>
      <c r="F23" s="4"/>
      <c r="G23" s="4">
        <f t="shared" si="7"/>
        <v>297.51463000000001</v>
      </c>
      <c r="H23" s="4">
        <f>28.46862+269.04601</f>
        <v>297.51463000000001</v>
      </c>
      <c r="I23" s="4"/>
      <c r="J23" s="4"/>
      <c r="K23" s="4"/>
      <c r="L23" s="4"/>
      <c r="M23" s="4"/>
      <c r="N23" s="41"/>
      <c r="O23" s="4">
        <f t="shared" si="2"/>
        <v>297.51463000000001</v>
      </c>
      <c r="P23" s="4">
        <f t="shared" si="3"/>
        <v>297.51463000000001</v>
      </c>
      <c r="Q23" s="4">
        <f t="shared" si="4"/>
        <v>0</v>
      </c>
      <c r="R23" s="4">
        <f t="shared" si="5"/>
        <v>0</v>
      </c>
    </row>
    <row r="24" spans="1:18">
      <c r="A24" s="30" t="s">
        <v>25</v>
      </c>
      <c r="B24" s="22" t="s">
        <v>10</v>
      </c>
      <c r="C24" s="3">
        <f>C25+C28+C31+C34+C43+C47+C52+C54+C61+C63+C67+C68+C69+C71+C72</f>
        <v>54135.900000000009</v>
      </c>
      <c r="D24" s="3">
        <f>D25+D28+D31+D34+D43+D47+D52+D54+D61+D63+D67+D68+D69+D71+D72</f>
        <v>54121.900000000009</v>
      </c>
      <c r="E24" s="3">
        <f>E25+E28+E31+E34+E43+E47+E71+E72</f>
        <v>14</v>
      </c>
      <c r="F24" s="3">
        <f>F25+F28+F31+F34+F43+F47+F71+F72</f>
        <v>14</v>
      </c>
      <c r="G24" s="3">
        <f t="shared" si="7"/>
        <v>40416.066780000016</v>
      </c>
      <c r="H24" s="3">
        <f>H25+H28+H31+H34+H43+H47+H52+H54+H61+H63+H67+H68+H69+H71+H72</f>
        <v>40416.066780000016</v>
      </c>
      <c r="I24" s="3">
        <f>I25+I28+I31+I34+I47+I52+I61+I63+I67+I68+I69+I71+I72</f>
        <v>0</v>
      </c>
      <c r="J24" s="3">
        <f>J25+J28+J31+J34+J47+J52+J61+J63+J67+J68+J69+J71+J72</f>
        <v>0</v>
      </c>
      <c r="K24" s="8">
        <f t="shared" si="10"/>
        <v>74.656682127756284</v>
      </c>
      <c r="L24" s="8">
        <f t="shared" si="10"/>
        <v>74.675993969169625</v>
      </c>
      <c r="M24" s="8">
        <f t="shared" si="10"/>
        <v>0</v>
      </c>
      <c r="N24" s="8"/>
      <c r="O24" s="8">
        <f t="shared" si="2"/>
        <v>-13719.833219999993</v>
      </c>
      <c r="P24" s="8">
        <f t="shared" si="3"/>
        <v>-13705.833219999993</v>
      </c>
      <c r="Q24" s="8">
        <f t="shared" si="4"/>
        <v>-14</v>
      </c>
      <c r="R24" s="8">
        <f t="shared" si="5"/>
        <v>-14</v>
      </c>
    </row>
    <row r="25" spans="1:18" ht="68.25" customHeight="1">
      <c r="A25" s="64" t="s">
        <v>27</v>
      </c>
      <c r="B25" s="26" t="s">
        <v>28</v>
      </c>
      <c r="C25" s="3">
        <f>C26+C27</f>
        <v>18732.7</v>
      </c>
      <c r="D25" s="3">
        <f t="shared" ref="D25:M25" si="11">D26+D27</f>
        <v>18732.7</v>
      </c>
      <c r="E25" s="3">
        <f t="shared" si="11"/>
        <v>0</v>
      </c>
      <c r="F25" s="3">
        <f t="shared" si="11"/>
        <v>0</v>
      </c>
      <c r="G25" s="3">
        <f t="shared" si="11"/>
        <v>13354.28564</v>
      </c>
      <c r="H25" s="3">
        <f t="shared" si="11"/>
        <v>13354.28564</v>
      </c>
      <c r="I25" s="3">
        <f t="shared" si="11"/>
        <v>0</v>
      </c>
      <c r="J25" s="3">
        <f t="shared" si="11"/>
        <v>0</v>
      </c>
      <c r="K25" s="8">
        <f t="shared" ref="K25:L28" si="12">G25/C25*100</f>
        <v>71.288632391486544</v>
      </c>
      <c r="L25" s="8">
        <f t="shared" si="12"/>
        <v>71.288632391486544</v>
      </c>
      <c r="M25" s="3">
        <f t="shared" si="11"/>
        <v>0</v>
      </c>
      <c r="N25" s="3"/>
      <c r="O25" s="8">
        <f t="shared" si="2"/>
        <v>-5378.4143600000007</v>
      </c>
      <c r="P25" s="8">
        <f t="shared" si="3"/>
        <v>-5378.4143600000007</v>
      </c>
      <c r="Q25" s="8">
        <f t="shared" si="4"/>
        <v>0</v>
      </c>
      <c r="R25" s="8">
        <f t="shared" si="5"/>
        <v>0</v>
      </c>
    </row>
    <row r="26" spans="1:18" ht="31.5">
      <c r="A26" s="65" t="s">
        <v>29</v>
      </c>
      <c r="B26" s="37" t="s">
        <v>88</v>
      </c>
      <c r="C26" s="4">
        <f>D26+E26</f>
        <v>3438.1000000000004</v>
      </c>
      <c r="D26" s="4">
        <f>2348.3+596+121.4+48.9+323.5</f>
        <v>3438.1000000000004</v>
      </c>
      <c r="E26" s="4"/>
      <c r="F26" s="4"/>
      <c r="G26" s="4">
        <f>H26</f>
        <v>2462.3906000000002</v>
      </c>
      <c r="H26" s="4">
        <v>2462.3906000000002</v>
      </c>
      <c r="I26" s="4"/>
      <c r="J26" s="4"/>
      <c r="K26" s="4">
        <f t="shared" si="12"/>
        <v>71.620680026758961</v>
      </c>
      <c r="L26" s="4">
        <f t="shared" si="12"/>
        <v>71.620680026758961</v>
      </c>
      <c r="M26" s="4"/>
      <c r="N26" s="20"/>
      <c r="O26" s="4">
        <f t="shared" si="2"/>
        <v>-975.70940000000019</v>
      </c>
      <c r="P26" s="4">
        <f t="shared" si="3"/>
        <v>-975.70940000000019</v>
      </c>
      <c r="Q26" s="8"/>
      <c r="R26" s="8"/>
    </row>
    <row r="27" spans="1:18" ht="31.5">
      <c r="A27" s="65" t="s">
        <v>30</v>
      </c>
      <c r="B27" s="37" t="s">
        <v>31</v>
      </c>
      <c r="C27" s="4">
        <f>D27+E27</f>
        <v>15294.6</v>
      </c>
      <c r="D27" s="4">
        <v>15294.6</v>
      </c>
      <c r="E27" s="10"/>
      <c r="F27" s="10"/>
      <c r="G27" s="4">
        <f t="shared" ref="G27:G42" si="13">H27</f>
        <v>10891.895039999999</v>
      </c>
      <c r="H27" s="4">
        <v>10891.895039999999</v>
      </c>
      <c r="I27" s="10"/>
      <c r="J27" s="10"/>
      <c r="K27" s="4">
        <f t="shared" si="12"/>
        <v>71.21399082028951</v>
      </c>
      <c r="L27" s="4">
        <f t="shared" si="12"/>
        <v>71.21399082028951</v>
      </c>
      <c r="M27" s="4"/>
      <c r="N27" s="20"/>
      <c r="O27" s="4">
        <f t="shared" si="2"/>
        <v>-4402.7049600000009</v>
      </c>
      <c r="P27" s="4">
        <f t="shared" si="3"/>
        <v>-4402.7049600000009</v>
      </c>
      <c r="Q27" s="8"/>
      <c r="R27" s="8"/>
    </row>
    <row r="28" spans="1:18" ht="31.5">
      <c r="A28" s="64" t="s">
        <v>32</v>
      </c>
      <c r="B28" s="26" t="s">
        <v>33</v>
      </c>
      <c r="C28" s="3">
        <f>C29+C30</f>
        <v>69.7</v>
      </c>
      <c r="D28" s="3">
        <f t="shared" ref="D28:J28" si="14">D29+D30</f>
        <v>69.7</v>
      </c>
      <c r="E28" s="3">
        <f t="shared" si="14"/>
        <v>0</v>
      </c>
      <c r="F28" s="3">
        <f t="shared" si="14"/>
        <v>0</v>
      </c>
      <c r="G28" s="3">
        <f t="shared" si="14"/>
        <v>60.336770000000001</v>
      </c>
      <c r="H28" s="3">
        <f t="shared" si="14"/>
        <v>60.336770000000001</v>
      </c>
      <c r="I28" s="3">
        <f t="shared" si="14"/>
        <v>0</v>
      </c>
      <c r="J28" s="3">
        <f t="shared" si="14"/>
        <v>0</v>
      </c>
      <c r="K28" s="8">
        <f t="shared" si="12"/>
        <v>86.566384505021517</v>
      </c>
      <c r="L28" s="8">
        <f t="shared" si="12"/>
        <v>86.566384505021517</v>
      </c>
      <c r="M28" s="8"/>
      <c r="N28" s="8"/>
      <c r="O28" s="8">
        <f t="shared" si="2"/>
        <v>-9.3632300000000015</v>
      </c>
      <c r="P28" s="8">
        <f t="shared" si="3"/>
        <v>-9.3632300000000015</v>
      </c>
      <c r="Q28" s="8">
        <f t="shared" si="4"/>
        <v>0</v>
      </c>
      <c r="R28" s="8">
        <f t="shared" si="5"/>
        <v>0</v>
      </c>
    </row>
    <row r="29" spans="1:18" ht="53.25" customHeight="1">
      <c r="A29" s="65" t="s">
        <v>34</v>
      </c>
      <c r="B29" s="37" t="s">
        <v>89</v>
      </c>
      <c r="C29" s="4">
        <f>D29+E29</f>
        <v>2.8</v>
      </c>
      <c r="D29" s="7">
        <f>1.7+1.1</f>
        <v>2.8</v>
      </c>
      <c r="E29" s="3"/>
      <c r="F29" s="3"/>
      <c r="G29" s="7">
        <f t="shared" si="13"/>
        <v>15.797549999999999</v>
      </c>
      <c r="H29" s="7">
        <v>15.797549999999999</v>
      </c>
      <c r="I29" s="3"/>
      <c r="J29" s="3"/>
      <c r="K29" s="4">
        <f t="shared" ref="K29:L30" si="15">G29/C29*100</f>
        <v>564.19821428571424</v>
      </c>
      <c r="L29" s="4">
        <f t="shared" si="15"/>
        <v>564.19821428571424</v>
      </c>
      <c r="M29" s="4"/>
      <c r="N29" s="20"/>
      <c r="O29" s="4">
        <f t="shared" si="2"/>
        <v>12.99755</v>
      </c>
      <c r="P29" s="4">
        <f t="shared" si="3"/>
        <v>12.99755</v>
      </c>
      <c r="Q29" s="8"/>
      <c r="R29" s="8"/>
    </row>
    <row r="30" spans="1:18" ht="51.75" customHeight="1">
      <c r="A30" s="65" t="s">
        <v>90</v>
      </c>
      <c r="B30" s="37" t="s">
        <v>35</v>
      </c>
      <c r="C30" s="4">
        <f>D30+E30</f>
        <v>66.900000000000006</v>
      </c>
      <c r="D30" s="7">
        <v>66.900000000000006</v>
      </c>
      <c r="E30" s="3"/>
      <c r="F30" s="3"/>
      <c r="G30" s="7">
        <f t="shared" si="13"/>
        <v>44.53922</v>
      </c>
      <c r="H30" s="7">
        <v>44.53922</v>
      </c>
      <c r="I30" s="3"/>
      <c r="J30" s="3"/>
      <c r="K30" s="4">
        <f t="shared" si="15"/>
        <v>66.575814648729434</v>
      </c>
      <c r="L30" s="4">
        <f t="shared" si="15"/>
        <v>66.575814648729434</v>
      </c>
      <c r="M30" s="4"/>
      <c r="N30" s="20"/>
      <c r="O30" s="4">
        <f t="shared" si="2"/>
        <v>-22.360780000000005</v>
      </c>
      <c r="P30" s="4">
        <f t="shared" si="3"/>
        <v>-22.360780000000005</v>
      </c>
      <c r="Q30" s="8"/>
      <c r="R30" s="8"/>
    </row>
    <row r="31" spans="1:18" ht="47.25">
      <c r="A31" s="64" t="s">
        <v>68</v>
      </c>
      <c r="B31" s="39" t="s">
        <v>91</v>
      </c>
      <c r="C31" s="8">
        <f>C32+C33</f>
        <v>0</v>
      </c>
      <c r="D31" s="8">
        <f t="shared" ref="D31:J31" si="16">D32+D33</f>
        <v>0</v>
      </c>
      <c r="E31" s="8">
        <f t="shared" si="16"/>
        <v>0</v>
      </c>
      <c r="F31" s="8">
        <f t="shared" si="16"/>
        <v>0</v>
      </c>
      <c r="G31" s="8">
        <f t="shared" si="16"/>
        <v>121.98949999999999</v>
      </c>
      <c r="H31" s="8">
        <f t="shared" si="16"/>
        <v>121.98949999999999</v>
      </c>
      <c r="I31" s="8">
        <f t="shared" si="16"/>
        <v>0</v>
      </c>
      <c r="J31" s="8">
        <f t="shared" si="16"/>
        <v>0</v>
      </c>
      <c r="K31" s="8"/>
      <c r="L31" s="8"/>
      <c r="M31" s="8"/>
      <c r="N31" s="8"/>
      <c r="O31" s="8">
        <f t="shared" si="2"/>
        <v>121.98949999999999</v>
      </c>
      <c r="P31" s="8">
        <f t="shared" si="3"/>
        <v>121.98949999999999</v>
      </c>
      <c r="Q31" s="8">
        <f t="shared" si="4"/>
        <v>0</v>
      </c>
      <c r="R31" s="8">
        <f t="shared" si="5"/>
        <v>0</v>
      </c>
    </row>
    <row r="32" spans="1:18" s="78" customFormat="1" ht="36" customHeight="1">
      <c r="A32" s="66" t="s">
        <v>69</v>
      </c>
      <c r="B32" s="37" t="s">
        <v>92</v>
      </c>
      <c r="C32" s="4">
        <f>D32+E32</f>
        <v>0</v>
      </c>
      <c r="D32" s="4">
        <v>0</v>
      </c>
      <c r="E32" s="4"/>
      <c r="F32" s="4"/>
      <c r="G32" s="4">
        <f t="shared" si="13"/>
        <v>58.16337</v>
      </c>
      <c r="H32" s="4">
        <v>58.16337</v>
      </c>
      <c r="I32" s="4"/>
      <c r="J32" s="4"/>
      <c r="K32" s="4"/>
      <c r="L32" s="4"/>
      <c r="M32" s="4"/>
      <c r="N32" s="46"/>
      <c r="O32" s="4">
        <f t="shared" si="2"/>
        <v>58.16337</v>
      </c>
      <c r="P32" s="4">
        <f t="shared" si="3"/>
        <v>58.16337</v>
      </c>
      <c r="Q32" s="8"/>
      <c r="R32" s="8"/>
    </row>
    <row r="33" spans="1:18" s="78" customFormat="1" ht="31.5">
      <c r="A33" s="69" t="s">
        <v>93</v>
      </c>
      <c r="B33" s="38" t="s">
        <v>54</v>
      </c>
      <c r="C33" s="4">
        <f>D33+E33</f>
        <v>0</v>
      </c>
      <c r="D33" s="4">
        <v>0</v>
      </c>
      <c r="E33" s="4"/>
      <c r="F33" s="4"/>
      <c r="G33" s="4">
        <f t="shared" si="13"/>
        <v>63.826129999999999</v>
      </c>
      <c r="H33" s="4">
        <v>63.826129999999999</v>
      </c>
      <c r="I33" s="4"/>
      <c r="J33" s="4"/>
      <c r="K33" s="4"/>
      <c r="L33" s="4"/>
      <c r="M33" s="4"/>
      <c r="N33" s="46"/>
      <c r="O33" s="4">
        <f t="shared" si="2"/>
        <v>63.826129999999999</v>
      </c>
      <c r="P33" s="4">
        <f t="shared" si="3"/>
        <v>63.826129999999999</v>
      </c>
      <c r="Q33" s="8"/>
      <c r="R33" s="8"/>
    </row>
    <row r="34" spans="1:18" ht="31.5">
      <c r="A34" s="64" t="s">
        <v>36</v>
      </c>
      <c r="B34" s="39" t="s">
        <v>94</v>
      </c>
      <c r="C34" s="3">
        <f>C35+C36+C37+C38+C39+C40+C41+C42</f>
        <v>15149.4</v>
      </c>
      <c r="D34" s="3">
        <f>D35+D36+D37+D38+D39+D40+D41+D42</f>
        <v>15149.4</v>
      </c>
      <c r="E34" s="3">
        <f t="shared" ref="E34:J34" si="17">E35+E36+E38+E39+E40+E41+E42+E43</f>
        <v>0</v>
      </c>
      <c r="F34" s="3">
        <f t="shared" si="17"/>
        <v>0</v>
      </c>
      <c r="G34" s="3">
        <f>G35+G36+G38+G39+G40+G41+G42</f>
        <v>14290.50383</v>
      </c>
      <c r="H34" s="3">
        <f>H35+H36+H38+H39+H40+H41+H42</f>
        <v>14290.50383</v>
      </c>
      <c r="I34" s="3">
        <f t="shared" si="17"/>
        <v>0</v>
      </c>
      <c r="J34" s="3">
        <f t="shared" si="17"/>
        <v>0</v>
      </c>
      <c r="K34" s="8">
        <f t="shared" ref="K34:L34" si="18">G34/C34*100</f>
        <v>94.330493814936574</v>
      </c>
      <c r="L34" s="8">
        <f t="shared" si="18"/>
        <v>94.330493814936574</v>
      </c>
      <c r="M34" s="10"/>
      <c r="N34" s="10"/>
      <c r="O34" s="8">
        <f t="shared" si="2"/>
        <v>-858.89616999999998</v>
      </c>
      <c r="P34" s="8">
        <f t="shared" si="3"/>
        <v>-858.89616999999998</v>
      </c>
      <c r="Q34" s="8">
        <f t="shared" si="4"/>
        <v>0</v>
      </c>
      <c r="R34" s="8">
        <f t="shared" si="5"/>
        <v>0</v>
      </c>
    </row>
    <row r="35" spans="1:18" s="78" customFormat="1">
      <c r="A35" s="66" t="s">
        <v>37</v>
      </c>
      <c r="B35" s="67" t="s">
        <v>55</v>
      </c>
      <c r="C35" s="4">
        <f t="shared" ref="C35:C73" si="19">D35+E35</f>
        <v>192.1</v>
      </c>
      <c r="D35" s="4">
        <v>192.1</v>
      </c>
      <c r="E35" s="10"/>
      <c r="F35" s="10"/>
      <c r="G35" s="4">
        <f t="shared" si="13"/>
        <v>183.91977</v>
      </c>
      <c r="H35" s="4">
        <v>183.91977</v>
      </c>
      <c r="I35" s="10"/>
      <c r="J35" s="10"/>
      <c r="K35" s="4">
        <f t="shared" ref="K35:L46" si="20">G35/C35*100</f>
        <v>95.741681415929207</v>
      </c>
      <c r="L35" s="4">
        <f t="shared" ref="L35:L43" si="21">H35/D35*100</f>
        <v>95.741681415929207</v>
      </c>
      <c r="M35" s="4"/>
      <c r="N35" s="47"/>
      <c r="O35" s="4">
        <f t="shared" si="2"/>
        <v>-8.1802299999999946</v>
      </c>
      <c r="P35" s="4">
        <f t="shared" si="3"/>
        <v>-8.1802299999999946</v>
      </c>
      <c r="Q35" s="8"/>
      <c r="R35" s="8"/>
    </row>
    <row r="36" spans="1:18" s="78" customFormat="1">
      <c r="A36" s="66" t="s">
        <v>38</v>
      </c>
      <c r="B36" s="67" t="s">
        <v>60</v>
      </c>
      <c r="C36" s="4">
        <f t="shared" si="19"/>
        <v>37.799999999999997</v>
      </c>
      <c r="D36" s="4">
        <v>37.799999999999997</v>
      </c>
      <c r="E36" s="10"/>
      <c r="F36" s="10"/>
      <c r="G36" s="4">
        <f t="shared" si="13"/>
        <v>25.8</v>
      </c>
      <c r="H36" s="4">
        <v>25.8</v>
      </c>
      <c r="I36" s="10"/>
      <c r="J36" s="10"/>
      <c r="K36" s="4">
        <f t="shared" si="20"/>
        <v>68.253968253968253</v>
      </c>
      <c r="L36" s="4">
        <f t="shared" si="21"/>
        <v>68.253968253968253</v>
      </c>
      <c r="M36" s="4"/>
      <c r="N36" s="47"/>
      <c r="O36" s="4">
        <f t="shared" si="2"/>
        <v>-11.999999999999996</v>
      </c>
      <c r="P36" s="4">
        <f t="shared" si="3"/>
        <v>-11.999999999999996</v>
      </c>
      <c r="Q36" s="8"/>
      <c r="R36" s="8"/>
    </row>
    <row r="37" spans="1:18" s="78" customFormat="1">
      <c r="A37" s="66" t="s">
        <v>203</v>
      </c>
      <c r="B37" s="67" t="s">
        <v>204</v>
      </c>
      <c r="C37" s="4">
        <f t="shared" si="19"/>
        <v>49</v>
      </c>
      <c r="D37" s="4">
        <v>49</v>
      </c>
      <c r="E37" s="10"/>
      <c r="F37" s="10"/>
      <c r="G37" s="4"/>
      <c r="H37" s="4"/>
      <c r="I37" s="10"/>
      <c r="J37" s="10"/>
      <c r="K37" s="4"/>
      <c r="L37" s="4"/>
      <c r="M37" s="4"/>
      <c r="N37" s="47"/>
      <c r="O37" s="4">
        <f t="shared" si="2"/>
        <v>-49</v>
      </c>
      <c r="P37" s="4">
        <f t="shared" si="3"/>
        <v>-49</v>
      </c>
      <c r="Q37" s="8"/>
      <c r="R37" s="8"/>
    </row>
    <row r="38" spans="1:18" s="78" customFormat="1">
      <c r="A38" s="66" t="s">
        <v>39</v>
      </c>
      <c r="B38" s="67" t="s">
        <v>56</v>
      </c>
      <c r="C38" s="4">
        <f t="shared" si="19"/>
        <v>10633.2</v>
      </c>
      <c r="D38" s="4">
        <v>10633.2</v>
      </c>
      <c r="E38" s="10"/>
      <c r="F38" s="10"/>
      <c r="G38" s="4">
        <f t="shared" si="13"/>
        <v>9553.7624500000002</v>
      </c>
      <c r="H38" s="4">
        <v>9553.7624500000002</v>
      </c>
      <c r="I38" s="10"/>
      <c r="J38" s="10"/>
      <c r="K38" s="4">
        <f t="shared" si="20"/>
        <v>89.848422394011209</v>
      </c>
      <c r="L38" s="4">
        <f t="shared" si="21"/>
        <v>89.848422394011209</v>
      </c>
      <c r="M38" s="4"/>
      <c r="N38" s="47"/>
      <c r="O38" s="4">
        <f t="shared" si="2"/>
        <v>-1079.4375500000006</v>
      </c>
      <c r="P38" s="4">
        <f t="shared" si="3"/>
        <v>-1079.4375500000006</v>
      </c>
      <c r="Q38" s="8"/>
      <c r="R38" s="8"/>
    </row>
    <row r="39" spans="1:18" s="78" customFormat="1" ht="31.5">
      <c r="A39" s="66" t="s">
        <v>40</v>
      </c>
      <c r="B39" s="67" t="s">
        <v>57</v>
      </c>
      <c r="C39" s="4">
        <f t="shared" si="19"/>
        <v>1041.4000000000001</v>
      </c>
      <c r="D39" s="4">
        <v>1041.4000000000001</v>
      </c>
      <c r="E39" s="10"/>
      <c r="F39" s="10"/>
      <c r="G39" s="4">
        <f t="shared" si="13"/>
        <v>1082.31324</v>
      </c>
      <c r="H39" s="4">
        <v>1082.31324</v>
      </c>
      <c r="I39" s="10"/>
      <c r="J39" s="10"/>
      <c r="K39" s="4">
        <f t="shared" si="20"/>
        <v>103.92867678125599</v>
      </c>
      <c r="L39" s="4">
        <f t="shared" si="21"/>
        <v>103.92867678125599</v>
      </c>
      <c r="M39" s="4"/>
      <c r="N39" s="47"/>
      <c r="O39" s="4">
        <f t="shared" si="2"/>
        <v>40.91323999999986</v>
      </c>
      <c r="P39" s="4">
        <f t="shared" si="3"/>
        <v>40.91323999999986</v>
      </c>
      <c r="Q39" s="8"/>
      <c r="R39" s="8"/>
    </row>
    <row r="40" spans="1:18" s="78" customFormat="1">
      <c r="A40" s="66" t="s">
        <v>41</v>
      </c>
      <c r="B40" s="67" t="s">
        <v>58</v>
      </c>
      <c r="C40" s="4">
        <f t="shared" si="19"/>
        <v>1649</v>
      </c>
      <c r="D40" s="4">
        <v>1649</v>
      </c>
      <c r="E40" s="10"/>
      <c r="F40" s="10"/>
      <c r="G40" s="4">
        <f t="shared" si="13"/>
        <v>1840.5845999999999</v>
      </c>
      <c r="H40" s="4">
        <v>1840.5845999999999</v>
      </c>
      <c r="I40" s="10"/>
      <c r="J40" s="10"/>
      <c r="K40" s="4">
        <f t="shared" si="20"/>
        <v>111.61822922983626</v>
      </c>
      <c r="L40" s="4">
        <f t="shared" si="21"/>
        <v>111.61822922983626</v>
      </c>
      <c r="M40" s="4"/>
      <c r="N40" s="47"/>
      <c r="O40" s="4">
        <f t="shared" si="2"/>
        <v>191.58459999999991</v>
      </c>
      <c r="P40" s="4">
        <f t="shared" si="3"/>
        <v>191.58459999999991</v>
      </c>
      <c r="Q40" s="8"/>
      <c r="R40" s="8"/>
    </row>
    <row r="41" spans="1:18" s="78" customFormat="1">
      <c r="A41" s="66" t="s">
        <v>42</v>
      </c>
      <c r="B41" s="67" t="s">
        <v>59</v>
      </c>
      <c r="C41" s="4">
        <f t="shared" si="19"/>
        <v>86.9</v>
      </c>
      <c r="D41" s="4">
        <v>86.9</v>
      </c>
      <c r="E41" s="10"/>
      <c r="F41" s="10"/>
      <c r="G41" s="4">
        <f t="shared" si="13"/>
        <v>67.894630000000006</v>
      </c>
      <c r="H41" s="4">
        <v>67.894630000000006</v>
      </c>
      <c r="I41" s="10"/>
      <c r="J41" s="10"/>
      <c r="K41" s="4">
        <f t="shared" si="20"/>
        <v>78.129608745684692</v>
      </c>
      <c r="L41" s="4">
        <f t="shared" si="21"/>
        <v>78.129608745684692</v>
      </c>
      <c r="M41" s="4"/>
      <c r="N41" s="47"/>
      <c r="O41" s="4">
        <f t="shared" si="2"/>
        <v>-19.005369999999999</v>
      </c>
      <c r="P41" s="4">
        <f t="shared" si="3"/>
        <v>-19.005369999999999</v>
      </c>
      <c r="Q41" s="8"/>
      <c r="R41" s="8"/>
    </row>
    <row r="42" spans="1:18" s="78" customFormat="1" ht="31.5">
      <c r="A42" s="66" t="s">
        <v>43</v>
      </c>
      <c r="B42" s="67" t="s">
        <v>61</v>
      </c>
      <c r="C42" s="4">
        <f t="shared" si="19"/>
        <v>1460</v>
      </c>
      <c r="D42" s="4">
        <v>1460</v>
      </c>
      <c r="E42" s="10"/>
      <c r="F42" s="10"/>
      <c r="G42" s="4">
        <f t="shared" si="13"/>
        <v>1536.2291399999999</v>
      </c>
      <c r="H42" s="4">
        <v>1536.2291399999999</v>
      </c>
      <c r="I42" s="10"/>
      <c r="J42" s="10"/>
      <c r="K42" s="4">
        <f t="shared" si="20"/>
        <v>105.22117397260273</v>
      </c>
      <c r="L42" s="4">
        <f t="shared" si="21"/>
        <v>105.22117397260273</v>
      </c>
      <c r="M42" s="4"/>
      <c r="N42" s="47"/>
      <c r="O42" s="4">
        <f t="shared" si="2"/>
        <v>76.229139999999916</v>
      </c>
      <c r="P42" s="4">
        <f t="shared" si="3"/>
        <v>76.229139999999916</v>
      </c>
      <c r="Q42" s="8"/>
      <c r="R42" s="8"/>
    </row>
    <row r="43" spans="1:18" ht="135" customHeight="1">
      <c r="A43" s="68" t="s">
        <v>44</v>
      </c>
      <c r="B43" s="26" t="s">
        <v>95</v>
      </c>
      <c r="C43" s="8">
        <f>C44+C45+C46</f>
        <v>2236.2999999999997</v>
      </c>
      <c r="D43" s="8">
        <f t="shared" ref="D43:J43" si="22">D44+D45+D46</f>
        <v>2236.2999999999997</v>
      </c>
      <c r="E43" s="8">
        <f t="shared" si="22"/>
        <v>0</v>
      </c>
      <c r="F43" s="8">
        <f t="shared" si="22"/>
        <v>0</v>
      </c>
      <c r="G43" s="8">
        <f t="shared" si="22"/>
        <v>3498.13103</v>
      </c>
      <c r="H43" s="8">
        <f t="shared" si="22"/>
        <v>3498.13103</v>
      </c>
      <c r="I43" s="8">
        <f t="shared" si="22"/>
        <v>0</v>
      </c>
      <c r="J43" s="8">
        <f t="shared" si="22"/>
        <v>0</v>
      </c>
      <c r="K43" s="8">
        <f t="shared" si="20"/>
        <v>156.42494432768416</v>
      </c>
      <c r="L43" s="8">
        <f t="shared" si="21"/>
        <v>156.42494432768416</v>
      </c>
      <c r="M43" s="10"/>
      <c r="N43" s="20"/>
      <c r="O43" s="8">
        <f t="shared" si="2"/>
        <v>1261.8310300000003</v>
      </c>
      <c r="P43" s="8">
        <f t="shared" si="3"/>
        <v>1261.8310300000003</v>
      </c>
      <c r="Q43" s="8">
        <f t="shared" si="4"/>
        <v>0</v>
      </c>
      <c r="R43" s="8">
        <f t="shared" si="5"/>
        <v>0</v>
      </c>
    </row>
    <row r="44" spans="1:18" ht="31.5">
      <c r="A44" s="69" t="s">
        <v>99</v>
      </c>
      <c r="B44" s="45" t="s">
        <v>96</v>
      </c>
      <c r="C44" s="4">
        <f t="shared" si="19"/>
        <v>2005.6</v>
      </c>
      <c r="D44" s="4">
        <v>2005.6</v>
      </c>
      <c r="E44" s="4"/>
      <c r="F44" s="4"/>
      <c r="G44" s="4">
        <f>H44+I44</f>
        <v>2428.66959</v>
      </c>
      <c r="H44" s="4">
        <v>2428.66959</v>
      </c>
      <c r="I44" s="4"/>
      <c r="J44" s="4"/>
      <c r="K44" s="4">
        <f t="shared" si="20"/>
        <v>121.09441513761467</v>
      </c>
      <c r="L44" s="4">
        <f t="shared" si="20"/>
        <v>121.09441513761467</v>
      </c>
      <c r="M44" s="4"/>
      <c r="N44" s="46"/>
      <c r="O44" s="4">
        <f t="shared" si="2"/>
        <v>423.06959000000006</v>
      </c>
      <c r="P44" s="4">
        <f t="shared" si="3"/>
        <v>423.06959000000006</v>
      </c>
      <c r="Q44" s="8"/>
      <c r="R44" s="8"/>
    </row>
    <row r="45" spans="1:18" ht="53.25" customHeight="1">
      <c r="A45" s="69" t="s">
        <v>100</v>
      </c>
      <c r="B45" s="45" t="s">
        <v>97</v>
      </c>
      <c r="C45" s="4">
        <f t="shared" si="19"/>
        <v>0</v>
      </c>
      <c r="D45" s="4"/>
      <c r="E45" s="4"/>
      <c r="F45" s="4"/>
      <c r="G45" s="4">
        <f t="shared" ref="G45:G46" si="23">H45+I45</f>
        <v>801.18507</v>
      </c>
      <c r="H45" s="4">
        <v>801.18507</v>
      </c>
      <c r="I45" s="4"/>
      <c r="J45" s="4"/>
      <c r="K45" s="4"/>
      <c r="L45" s="4"/>
      <c r="M45" s="4"/>
      <c r="N45" s="46"/>
      <c r="O45" s="4">
        <f t="shared" si="2"/>
        <v>801.18507</v>
      </c>
      <c r="P45" s="4">
        <f t="shared" si="3"/>
        <v>801.18507</v>
      </c>
      <c r="Q45" s="8"/>
      <c r="R45" s="8"/>
    </row>
    <row r="46" spans="1:18" ht="31.5">
      <c r="A46" s="69" t="s">
        <v>101</v>
      </c>
      <c r="B46" s="45" t="s">
        <v>98</v>
      </c>
      <c r="C46" s="4">
        <f t="shared" si="19"/>
        <v>230.7</v>
      </c>
      <c r="D46" s="4">
        <v>230.7</v>
      </c>
      <c r="E46" s="4"/>
      <c r="F46" s="4"/>
      <c r="G46" s="4">
        <f t="shared" si="23"/>
        <v>268.27636999999999</v>
      </c>
      <c r="H46" s="4">
        <v>268.27636999999999</v>
      </c>
      <c r="I46" s="4"/>
      <c r="J46" s="4"/>
      <c r="K46" s="4">
        <f t="shared" si="20"/>
        <v>116.28798006068489</v>
      </c>
      <c r="L46" s="4">
        <f t="shared" si="20"/>
        <v>116.28798006068489</v>
      </c>
      <c r="M46" s="4"/>
      <c r="N46" s="46"/>
      <c r="O46" s="4">
        <f t="shared" si="2"/>
        <v>37.576369999999997</v>
      </c>
      <c r="P46" s="4">
        <f t="shared" si="3"/>
        <v>37.576369999999997</v>
      </c>
      <c r="Q46" s="8"/>
      <c r="R46" s="8"/>
    </row>
    <row r="47" spans="1:18" ht="47.25">
      <c r="A47" s="64" t="s">
        <v>45</v>
      </c>
      <c r="B47" s="26" t="s">
        <v>102</v>
      </c>
      <c r="C47" s="3">
        <f>C48</f>
        <v>1006.5</v>
      </c>
      <c r="D47" s="3">
        <f>D48</f>
        <v>992.5</v>
      </c>
      <c r="E47" s="3">
        <f>E48</f>
        <v>14</v>
      </c>
      <c r="F47" s="3">
        <f t="shared" ref="F47:N47" si="24">F48</f>
        <v>14</v>
      </c>
      <c r="G47" s="3">
        <f t="shared" si="24"/>
        <v>1259.5565899999999</v>
      </c>
      <c r="H47" s="3">
        <f t="shared" si="24"/>
        <v>1259.5565899999999</v>
      </c>
      <c r="I47" s="3">
        <f t="shared" si="24"/>
        <v>0</v>
      </c>
      <c r="J47" s="3">
        <f t="shared" si="24"/>
        <v>0</v>
      </c>
      <c r="K47" s="3">
        <f t="shared" si="24"/>
        <v>125.1422344759066</v>
      </c>
      <c r="L47" s="3">
        <f t="shared" si="24"/>
        <v>126.90746498740553</v>
      </c>
      <c r="M47" s="3">
        <f t="shared" si="24"/>
        <v>0</v>
      </c>
      <c r="N47" s="3">
        <f t="shared" si="24"/>
        <v>0</v>
      </c>
      <c r="O47" s="8">
        <f t="shared" si="2"/>
        <v>253.05658999999991</v>
      </c>
      <c r="P47" s="8">
        <f t="shared" si="3"/>
        <v>267.05658999999991</v>
      </c>
      <c r="Q47" s="8">
        <f t="shared" si="4"/>
        <v>-14</v>
      </c>
      <c r="R47" s="8">
        <f t="shared" si="5"/>
        <v>-14</v>
      </c>
    </row>
    <row r="48" spans="1:18" ht="47.25">
      <c r="A48" s="66" t="s">
        <v>46</v>
      </c>
      <c r="B48" s="37" t="s">
        <v>62</v>
      </c>
      <c r="C48" s="4">
        <f t="shared" si="19"/>
        <v>1006.5</v>
      </c>
      <c r="D48" s="4">
        <v>992.5</v>
      </c>
      <c r="E48" s="4">
        <v>14</v>
      </c>
      <c r="F48" s="4">
        <v>14</v>
      </c>
      <c r="G48" s="4">
        <f>H48+I48</f>
        <v>1259.5565899999999</v>
      </c>
      <c r="H48" s="4">
        <v>1259.5565899999999</v>
      </c>
      <c r="I48" s="4">
        <v>0</v>
      </c>
      <c r="J48" s="4"/>
      <c r="K48" s="4">
        <f>G48/C48*100</f>
        <v>125.1422344759066</v>
      </c>
      <c r="L48" s="4">
        <f>H48/D48*100</f>
        <v>126.90746498740553</v>
      </c>
      <c r="M48" s="4">
        <f>I48/E48*100</f>
        <v>0</v>
      </c>
      <c r="N48" s="20"/>
      <c r="O48" s="4">
        <f t="shared" si="2"/>
        <v>253.05658999999991</v>
      </c>
      <c r="P48" s="4">
        <f t="shared" si="3"/>
        <v>267.05658999999991</v>
      </c>
      <c r="Q48" s="4">
        <f t="shared" si="4"/>
        <v>-14</v>
      </c>
      <c r="R48" s="4">
        <f t="shared" si="5"/>
        <v>-14</v>
      </c>
    </row>
    <row r="49" spans="1:18">
      <c r="A49" s="66"/>
      <c r="B49" s="23" t="s">
        <v>12</v>
      </c>
      <c r="C49" s="4"/>
      <c r="D49" s="3"/>
      <c r="E49" s="3"/>
      <c r="F49" s="3"/>
      <c r="G49" s="7"/>
      <c r="H49" s="3"/>
      <c r="I49" s="3"/>
      <c r="J49" s="3"/>
      <c r="K49" s="4"/>
      <c r="L49" s="4"/>
      <c r="M49" s="4"/>
      <c r="N49" s="20"/>
      <c r="O49" s="4"/>
      <c r="P49" s="4"/>
      <c r="Q49" s="4"/>
      <c r="R49" s="4"/>
    </row>
    <row r="50" spans="1:18">
      <c r="A50" s="66"/>
      <c r="B50" s="24" t="s">
        <v>13</v>
      </c>
      <c r="C50" s="4">
        <f t="shared" si="19"/>
        <v>958</v>
      </c>
      <c r="D50" s="4">
        <v>958</v>
      </c>
      <c r="E50" s="10"/>
      <c r="F50" s="10"/>
      <c r="G50" s="4">
        <f>H50+I50</f>
        <v>1151.99389</v>
      </c>
      <c r="H50" s="4">
        <f>939.49376+212.50013</f>
        <v>1151.99389</v>
      </c>
      <c r="I50" s="10"/>
      <c r="J50" s="10"/>
      <c r="K50" s="4">
        <f>G50/C50*100</f>
        <v>120.24988413361169</v>
      </c>
      <c r="L50" s="4">
        <f>H50/D50*100</f>
        <v>120.24988413361169</v>
      </c>
      <c r="M50" s="4"/>
      <c r="N50" s="20"/>
      <c r="O50" s="4">
        <f t="shared" si="2"/>
        <v>193.99388999999996</v>
      </c>
      <c r="P50" s="4">
        <f t="shared" si="3"/>
        <v>193.99388999999996</v>
      </c>
      <c r="Q50" s="4"/>
      <c r="R50" s="4"/>
    </row>
    <row r="51" spans="1:18">
      <c r="A51" s="66"/>
      <c r="B51" s="24" t="s">
        <v>14</v>
      </c>
      <c r="C51" s="4">
        <f t="shared" si="19"/>
        <v>10.7</v>
      </c>
      <c r="D51" s="4">
        <v>10.7</v>
      </c>
      <c r="E51" s="10"/>
      <c r="F51" s="10"/>
      <c r="G51" s="4">
        <f>H51+I51</f>
        <v>10.51496</v>
      </c>
      <c r="H51" s="4">
        <v>10.51496</v>
      </c>
      <c r="I51" s="10"/>
      <c r="J51" s="10"/>
      <c r="K51" s="4">
        <f>G51/C51*100</f>
        <v>98.270654205607485</v>
      </c>
      <c r="L51" s="4">
        <f>H51/D51*100</f>
        <v>98.270654205607485</v>
      </c>
      <c r="M51" s="4"/>
      <c r="N51" s="20"/>
      <c r="O51" s="4">
        <f t="shared" si="2"/>
        <v>-0.18503999999999898</v>
      </c>
      <c r="P51" s="4">
        <f t="shared" si="3"/>
        <v>-0.18503999999999898</v>
      </c>
      <c r="Q51" s="4"/>
      <c r="R51" s="4"/>
    </row>
    <row r="52" spans="1:18">
      <c r="A52" s="68" t="s">
        <v>47</v>
      </c>
      <c r="B52" s="39" t="s">
        <v>63</v>
      </c>
      <c r="C52" s="8">
        <f t="shared" si="19"/>
        <v>3.3</v>
      </c>
      <c r="D52" s="8">
        <f>D53</f>
        <v>3.3</v>
      </c>
      <c r="E52" s="8"/>
      <c r="F52" s="8"/>
      <c r="G52" s="8">
        <f t="shared" ref="G52:L52" si="25">G53</f>
        <v>1.042</v>
      </c>
      <c r="H52" s="8">
        <f t="shared" si="25"/>
        <v>1.042</v>
      </c>
      <c r="I52" s="8"/>
      <c r="J52" s="8"/>
      <c r="K52" s="8">
        <f t="shared" si="25"/>
        <v>31.575757575757578</v>
      </c>
      <c r="L52" s="8">
        <f t="shared" si="25"/>
        <v>31.575757575757578</v>
      </c>
      <c r="M52" s="8"/>
      <c r="N52" s="8"/>
      <c r="O52" s="8">
        <f t="shared" si="2"/>
        <v>-2.258</v>
      </c>
      <c r="P52" s="8">
        <f t="shared" si="3"/>
        <v>-2.258</v>
      </c>
      <c r="Q52" s="8">
        <f t="shared" si="4"/>
        <v>0</v>
      </c>
      <c r="R52" s="8">
        <f t="shared" si="5"/>
        <v>0</v>
      </c>
    </row>
    <row r="53" spans="1:18" ht="31.5">
      <c r="A53" s="66" t="s">
        <v>48</v>
      </c>
      <c r="B53" s="37" t="s">
        <v>64</v>
      </c>
      <c r="C53" s="4">
        <f t="shared" si="19"/>
        <v>3.3</v>
      </c>
      <c r="D53" s="7">
        <v>3.3</v>
      </c>
      <c r="E53" s="3"/>
      <c r="F53" s="3"/>
      <c r="G53" s="7">
        <f>H53+I53</f>
        <v>1.042</v>
      </c>
      <c r="H53" s="7">
        <v>1.042</v>
      </c>
      <c r="I53" s="3"/>
      <c r="J53" s="3"/>
      <c r="K53" s="4">
        <f>G53/C53*100</f>
        <v>31.575757575757578</v>
      </c>
      <c r="L53" s="4">
        <f>H53/D53*100</f>
        <v>31.575757575757578</v>
      </c>
      <c r="M53" s="4"/>
      <c r="N53" s="20"/>
      <c r="O53" s="4">
        <f t="shared" si="2"/>
        <v>-2.258</v>
      </c>
      <c r="P53" s="4">
        <f t="shared" si="3"/>
        <v>-2.258</v>
      </c>
      <c r="Q53" s="8"/>
      <c r="R53" s="8"/>
    </row>
    <row r="54" spans="1:18" ht="31.5">
      <c r="A54" s="64" t="s">
        <v>104</v>
      </c>
      <c r="B54" s="26" t="s">
        <v>65</v>
      </c>
      <c r="C54" s="8">
        <f t="shared" si="19"/>
        <v>470.29999999999995</v>
      </c>
      <c r="D54" s="8">
        <f>D55+D60</f>
        <v>470.29999999999995</v>
      </c>
      <c r="E54" s="8">
        <f t="shared" ref="E54:J54" si="26">E55+E60</f>
        <v>0</v>
      </c>
      <c r="F54" s="8">
        <f t="shared" si="26"/>
        <v>0</v>
      </c>
      <c r="G54" s="8">
        <f t="shared" si="26"/>
        <v>678.60978</v>
      </c>
      <c r="H54" s="8">
        <f t="shared" si="26"/>
        <v>678.60978</v>
      </c>
      <c r="I54" s="8">
        <f t="shared" si="26"/>
        <v>0</v>
      </c>
      <c r="J54" s="8">
        <f t="shared" si="26"/>
        <v>0</v>
      </c>
      <c r="K54" s="8">
        <f t="shared" ref="K54:K55" si="27">G54/D54*100</f>
        <v>144.29295768658307</v>
      </c>
      <c r="L54" s="8">
        <f>H54/D54*100</f>
        <v>144.29295768658307</v>
      </c>
      <c r="M54" s="8"/>
      <c r="N54" s="8"/>
      <c r="O54" s="8">
        <f t="shared" si="2"/>
        <v>208.30978000000005</v>
      </c>
      <c r="P54" s="8">
        <f t="shared" si="3"/>
        <v>208.30978000000005</v>
      </c>
      <c r="Q54" s="8">
        <f t="shared" si="4"/>
        <v>0</v>
      </c>
      <c r="R54" s="8">
        <f t="shared" si="5"/>
        <v>0</v>
      </c>
    </row>
    <row r="55" spans="1:18" ht="31.5">
      <c r="A55" s="66" t="s">
        <v>105</v>
      </c>
      <c r="B55" s="45" t="s">
        <v>103</v>
      </c>
      <c r="C55" s="4">
        <f t="shared" si="19"/>
        <v>435.79999999999995</v>
      </c>
      <c r="D55" s="4">
        <f>208.7+227.1</f>
        <v>435.79999999999995</v>
      </c>
      <c r="E55" s="10"/>
      <c r="F55" s="10"/>
      <c r="G55" s="4">
        <f>H55+I55</f>
        <v>638.07478000000003</v>
      </c>
      <c r="H55" s="4">
        <v>638.07478000000003</v>
      </c>
      <c r="I55" s="10"/>
      <c r="J55" s="10"/>
      <c r="K55" s="4">
        <f t="shared" si="27"/>
        <v>146.41458926112898</v>
      </c>
      <c r="L55" s="4">
        <f>H55/D55*100</f>
        <v>146.41458926112898</v>
      </c>
      <c r="M55" s="4"/>
      <c r="N55" s="4"/>
      <c r="O55" s="4">
        <f t="shared" si="2"/>
        <v>202.27478000000008</v>
      </c>
      <c r="P55" s="4">
        <f t="shared" si="3"/>
        <v>202.27478000000008</v>
      </c>
      <c r="Q55" s="8"/>
      <c r="R55" s="8"/>
    </row>
    <row r="56" spans="1:18">
      <c r="A56" s="66"/>
      <c r="B56" s="23" t="s">
        <v>12</v>
      </c>
      <c r="C56" s="4"/>
      <c r="D56" s="4"/>
      <c r="E56" s="10"/>
      <c r="F56" s="10"/>
      <c r="G56" s="4"/>
      <c r="H56" s="4"/>
      <c r="I56" s="10"/>
      <c r="J56" s="10"/>
      <c r="K56" s="4"/>
      <c r="L56" s="4"/>
      <c r="M56" s="4"/>
      <c r="N56" s="4"/>
      <c r="O56" s="8"/>
      <c r="P56" s="8"/>
      <c r="Q56" s="8"/>
      <c r="R56" s="8"/>
    </row>
    <row r="57" spans="1:18">
      <c r="A57" s="66"/>
      <c r="B57" s="24" t="s">
        <v>13</v>
      </c>
      <c r="C57" s="4">
        <f>D57</f>
        <v>397.29999999999995</v>
      </c>
      <c r="D57" s="4">
        <f>190.2+207.1</f>
        <v>397.29999999999995</v>
      </c>
      <c r="E57" s="10"/>
      <c r="F57" s="10"/>
      <c r="G57" s="4">
        <f>H57+I57</f>
        <v>579.50545999999997</v>
      </c>
      <c r="H57" s="4">
        <f>476.42499+103.08047</f>
        <v>579.50545999999997</v>
      </c>
      <c r="I57" s="10"/>
      <c r="J57" s="10"/>
      <c r="K57" s="4">
        <f>G57/C57*100</f>
        <v>145.86092625220238</v>
      </c>
      <c r="L57" s="4">
        <f>H57/D57*100</f>
        <v>145.86092625220238</v>
      </c>
      <c r="M57" s="4"/>
      <c r="N57" s="4"/>
      <c r="O57" s="4">
        <f t="shared" si="2"/>
        <v>182.20546000000002</v>
      </c>
      <c r="P57" s="4">
        <f t="shared" si="3"/>
        <v>182.20546000000002</v>
      </c>
      <c r="Q57" s="8"/>
      <c r="R57" s="8"/>
    </row>
    <row r="58" spans="1:18">
      <c r="A58" s="66"/>
      <c r="B58" s="24" t="s">
        <v>15</v>
      </c>
      <c r="C58" s="4">
        <f>D58</f>
        <v>13.1</v>
      </c>
      <c r="D58" s="4">
        <v>13.1</v>
      </c>
      <c r="E58" s="10"/>
      <c r="F58" s="10"/>
      <c r="G58" s="4">
        <f t="shared" ref="G58:G60" si="28">H58+I58</f>
        <v>14.723599999999999</v>
      </c>
      <c r="H58" s="4">
        <v>14.723599999999999</v>
      </c>
      <c r="I58" s="10"/>
      <c r="J58" s="10"/>
      <c r="K58" s="4">
        <f t="shared" ref="K58:K60" si="29">G58/C58*100</f>
        <v>112.39389312977099</v>
      </c>
      <c r="L58" s="4">
        <f t="shared" ref="L58:L60" si="30">H58/D58*100</f>
        <v>112.39389312977099</v>
      </c>
      <c r="M58" s="4"/>
      <c r="N58" s="4"/>
      <c r="O58" s="4">
        <f t="shared" si="2"/>
        <v>1.6235999999999997</v>
      </c>
      <c r="P58" s="4">
        <f t="shared" si="3"/>
        <v>1.6235999999999997</v>
      </c>
      <c r="Q58" s="8"/>
      <c r="R58" s="8"/>
    </row>
    <row r="59" spans="1:18">
      <c r="A59" s="66"/>
      <c r="B59" s="24" t="s">
        <v>14</v>
      </c>
      <c r="C59" s="4">
        <f>D59</f>
        <v>5.6</v>
      </c>
      <c r="D59" s="4">
        <v>5.6</v>
      </c>
      <c r="E59" s="10"/>
      <c r="F59" s="10"/>
      <c r="G59" s="4">
        <f t="shared" si="28"/>
        <v>18.38796</v>
      </c>
      <c r="H59" s="4">
        <v>18.38796</v>
      </c>
      <c r="I59" s="10"/>
      <c r="J59" s="10"/>
      <c r="K59" s="4">
        <f t="shared" si="29"/>
        <v>328.35642857142858</v>
      </c>
      <c r="L59" s="4">
        <f t="shared" si="30"/>
        <v>328.35642857142858</v>
      </c>
      <c r="M59" s="4"/>
      <c r="N59" s="4"/>
      <c r="O59" s="4">
        <f t="shared" si="2"/>
        <v>12.78796</v>
      </c>
      <c r="P59" s="4">
        <f t="shared" si="3"/>
        <v>12.78796</v>
      </c>
      <c r="Q59" s="8"/>
      <c r="R59" s="8"/>
    </row>
    <row r="60" spans="1:18">
      <c r="A60" s="66" t="s">
        <v>106</v>
      </c>
      <c r="B60" s="45" t="s">
        <v>66</v>
      </c>
      <c r="C60" s="4">
        <f t="shared" si="19"/>
        <v>34.5</v>
      </c>
      <c r="D60" s="4">
        <v>34.5</v>
      </c>
      <c r="E60" s="10"/>
      <c r="F60" s="10"/>
      <c r="G60" s="4">
        <f t="shared" si="28"/>
        <v>40.534999999999997</v>
      </c>
      <c r="H60" s="4">
        <v>40.534999999999997</v>
      </c>
      <c r="I60" s="10"/>
      <c r="J60" s="10"/>
      <c r="K60" s="4">
        <f t="shared" si="29"/>
        <v>117.49275362318841</v>
      </c>
      <c r="L60" s="4">
        <f t="shared" si="30"/>
        <v>117.49275362318841</v>
      </c>
      <c r="M60" s="4"/>
      <c r="N60" s="4"/>
      <c r="O60" s="4">
        <f t="shared" si="2"/>
        <v>6.0349999999999966</v>
      </c>
      <c r="P60" s="4">
        <f t="shared" si="3"/>
        <v>6.0349999999999966</v>
      </c>
      <c r="Q60" s="8"/>
      <c r="R60" s="8"/>
    </row>
    <row r="61" spans="1:18">
      <c r="A61" s="64" t="s">
        <v>49</v>
      </c>
      <c r="B61" s="39" t="s">
        <v>193</v>
      </c>
      <c r="C61" s="8">
        <f t="shared" si="19"/>
        <v>154.6</v>
      </c>
      <c r="D61" s="8">
        <f>D62</f>
        <v>154.6</v>
      </c>
      <c r="E61" s="8"/>
      <c r="F61" s="8"/>
      <c r="G61" s="8">
        <f>G62</f>
        <v>134.4034</v>
      </c>
      <c r="H61" s="8">
        <f>H62</f>
        <v>134.4034</v>
      </c>
      <c r="I61" s="8"/>
      <c r="J61" s="8"/>
      <c r="K61" s="8">
        <f t="shared" ref="K61:L68" si="31">G61/C61*100</f>
        <v>86.936222509702461</v>
      </c>
      <c r="L61" s="8">
        <f t="shared" si="31"/>
        <v>86.936222509702461</v>
      </c>
      <c r="M61" s="8"/>
      <c r="N61" s="8"/>
      <c r="O61" s="8">
        <f t="shared" si="2"/>
        <v>-20.196599999999989</v>
      </c>
      <c r="P61" s="8">
        <f t="shared" si="3"/>
        <v>-20.196599999999989</v>
      </c>
      <c r="Q61" s="8"/>
      <c r="R61" s="8"/>
    </row>
    <row r="62" spans="1:18">
      <c r="A62" s="66" t="s">
        <v>107</v>
      </c>
      <c r="B62" s="38" t="s">
        <v>108</v>
      </c>
      <c r="C62" s="4">
        <f t="shared" si="19"/>
        <v>154.6</v>
      </c>
      <c r="D62" s="7">
        <v>154.6</v>
      </c>
      <c r="E62" s="3"/>
      <c r="F62" s="3"/>
      <c r="G62" s="7">
        <f>H62+I62</f>
        <v>134.4034</v>
      </c>
      <c r="H62" s="7">
        <v>134.4034</v>
      </c>
      <c r="I62" s="3"/>
      <c r="J62" s="3"/>
      <c r="K62" s="4">
        <f t="shared" si="31"/>
        <v>86.936222509702461</v>
      </c>
      <c r="L62" s="4">
        <f t="shared" si="31"/>
        <v>86.936222509702461</v>
      </c>
      <c r="M62" s="4"/>
      <c r="N62" s="20"/>
      <c r="O62" s="4">
        <f t="shared" si="2"/>
        <v>-20.196599999999989</v>
      </c>
      <c r="P62" s="4">
        <f t="shared" si="3"/>
        <v>-20.196599999999989</v>
      </c>
      <c r="Q62" s="8"/>
      <c r="R62" s="8"/>
    </row>
    <row r="63" spans="1:18" ht="65.25" customHeight="1">
      <c r="A63" s="64" t="s">
        <v>50</v>
      </c>
      <c r="B63" s="39" t="s">
        <v>192</v>
      </c>
      <c r="C63" s="8">
        <f t="shared" si="19"/>
        <v>0</v>
      </c>
      <c r="D63" s="8">
        <v>0</v>
      </c>
      <c r="E63" s="8"/>
      <c r="F63" s="8"/>
      <c r="G63" s="8">
        <f>H63+I63</f>
        <v>0</v>
      </c>
      <c r="H63" s="8">
        <v>0</v>
      </c>
      <c r="I63" s="8"/>
      <c r="J63" s="8"/>
      <c r="K63" s="8"/>
      <c r="L63" s="8"/>
      <c r="M63" s="8"/>
      <c r="N63" s="20"/>
      <c r="O63" s="8">
        <f t="shared" si="2"/>
        <v>0</v>
      </c>
      <c r="P63" s="8">
        <f t="shared" si="3"/>
        <v>0</v>
      </c>
      <c r="Q63" s="8"/>
      <c r="R63" s="8"/>
    </row>
    <row r="64" spans="1:18" s="78" customFormat="1">
      <c r="A64" s="66"/>
      <c r="B64" s="23" t="s">
        <v>12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6"/>
      <c r="O64" s="8"/>
      <c r="P64" s="8"/>
      <c r="Q64" s="8"/>
      <c r="R64" s="8"/>
    </row>
    <row r="65" spans="1:18" s="78" customFormat="1">
      <c r="A65" s="66"/>
      <c r="B65" s="24" t="s">
        <v>13</v>
      </c>
      <c r="C65" s="4">
        <f>D65+E65</f>
        <v>0</v>
      </c>
      <c r="D65" s="4">
        <v>0</v>
      </c>
      <c r="E65" s="4"/>
      <c r="F65" s="4"/>
      <c r="G65" s="4">
        <f>H65+I65</f>
        <v>0</v>
      </c>
      <c r="H65" s="4">
        <v>0</v>
      </c>
      <c r="I65" s="4"/>
      <c r="J65" s="4"/>
      <c r="K65" s="4"/>
      <c r="L65" s="4"/>
      <c r="M65" s="4"/>
      <c r="N65" s="46"/>
      <c r="O65" s="4">
        <f t="shared" si="2"/>
        <v>0</v>
      </c>
      <c r="P65" s="4">
        <f t="shared" si="3"/>
        <v>0</v>
      </c>
      <c r="Q65" s="8"/>
      <c r="R65" s="8"/>
    </row>
    <row r="66" spans="1:18" s="78" customFormat="1">
      <c r="A66" s="66"/>
      <c r="B66" s="24" t="s">
        <v>15</v>
      </c>
      <c r="C66" s="4">
        <f>D66+E66</f>
        <v>0</v>
      </c>
      <c r="D66" s="4">
        <v>0</v>
      </c>
      <c r="E66" s="4"/>
      <c r="F66" s="4"/>
      <c r="G66" s="4">
        <f>H66+I66</f>
        <v>0</v>
      </c>
      <c r="H66" s="4">
        <v>0</v>
      </c>
      <c r="I66" s="4"/>
      <c r="J66" s="4"/>
      <c r="K66" s="4"/>
      <c r="L66" s="4"/>
      <c r="M66" s="4"/>
      <c r="N66" s="46"/>
      <c r="O66" s="4">
        <f t="shared" si="2"/>
        <v>0</v>
      </c>
      <c r="P66" s="4">
        <f t="shared" si="3"/>
        <v>0</v>
      </c>
      <c r="Q66" s="8"/>
      <c r="R66" s="8"/>
    </row>
    <row r="67" spans="1:18" ht="68.25" customHeight="1">
      <c r="A67" s="64" t="s">
        <v>51</v>
      </c>
      <c r="B67" s="26" t="s">
        <v>109</v>
      </c>
      <c r="C67" s="8">
        <f t="shared" si="19"/>
        <v>113.4</v>
      </c>
      <c r="D67" s="8">
        <v>113.4</v>
      </c>
      <c r="E67" s="8"/>
      <c r="F67" s="8"/>
      <c r="G67" s="8">
        <f>H67+I67</f>
        <v>120.45577</v>
      </c>
      <c r="H67" s="8">
        <v>120.45577</v>
      </c>
      <c r="I67" s="8"/>
      <c r="J67" s="8"/>
      <c r="K67" s="8">
        <f t="shared" si="31"/>
        <v>106.22201940035272</v>
      </c>
      <c r="L67" s="8">
        <f t="shared" si="31"/>
        <v>106.22201940035272</v>
      </c>
      <c r="M67" s="8"/>
      <c r="N67" s="20"/>
      <c r="O67" s="8">
        <f t="shared" si="2"/>
        <v>7.0557699999999954</v>
      </c>
      <c r="P67" s="8">
        <f t="shared" si="3"/>
        <v>7.0557699999999954</v>
      </c>
      <c r="Q67" s="8"/>
      <c r="R67" s="8"/>
    </row>
    <row r="68" spans="1:18" ht="74.25" customHeight="1">
      <c r="A68" s="64" t="s">
        <v>52</v>
      </c>
      <c r="B68" s="26" t="s">
        <v>110</v>
      </c>
      <c r="C68" s="8">
        <f t="shared" si="19"/>
        <v>260.7</v>
      </c>
      <c r="D68" s="8">
        <v>260.7</v>
      </c>
      <c r="E68" s="8"/>
      <c r="F68" s="8"/>
      <c r="G68" s="8">
        <f>H68</f>
        <v>212.499</v>
      </c>
      <c r="H68" s="8">
        <v>212.499</v>
      </c>
      <c r="I68" s="8"/>
      <c r="J68" s="8"/>
      <c r="K68" s="8">
        <f t="shared" si="31"/>
        <v>81.510932105868818</v>
      </c>
      <c r="L68" s="8">
        <f t="shared" si="31"/>
        <v>81.510932105868818</v>
      </c>
      <c r="M68" s="8"/>
      <c r="N68" s="8"/>
      <c r="O68" s="8">
        <f t="shared" si="2"/>
        <v>-48.200999999999993</v>
      </c>
      <c r="P68" s="8">
        <f t="shared" si="3"/>
        <v>-48.200999999999993</v>
      </c>
      <c r="Q68" s="8"/>
      <c r="R68" s="8"/>
    </row>
    <row r="69" spans="1:18">
      <c r="A69" s="64" t="s">
        <v>53</v>
      </c>
      <c r="B69" s="39" t="s">
        <v>67</v>
      </c>
      <c r="C69" s="8">
        <f t="shared" si="19"/>
        <v>4.4000000000000004</v>
      </c>
      <c r="D69" s="8">
        <f>D70</f>
        <v>4.4000000000000004</v>
      </c>
      <c r="E69" s="8"/>
      <c r="F69" s="8"/>
      <c r="G69" s="8">
        <f>G70</f>
        <v>4.8334200000000003</v>
      </c>
      <c r="H69" s="8">
        <f>H70</f>
        <v>4.8334200000000003</v>
      </c>
      <c r="I69" s="8"/>
      <c r="J69" s="8"/>
      <c r="K69" s="8">
        <f t="shared" ref="K69:K77" si="32">G69/C69*100</f>
        <v>109.85045454545454</v>
      </c>
      <c r="L69" s="8">
        <f t="shared" ref="L69:L77" si="33">H69/D69*100</f>
        <v>109.85045454545454</v>
      </c>
      <c r="M69" s="8"/>
      <c r="N69" s="20"/>
      <c r="O69" s="8">
        <f t="shared" si="2"/>
        <v>0.43341999999999992</v>
      </c>
      <c r="P69" s="8">
        <f t="shared" si="3"/>
        <v>0.43341999999999992</v>
      </c>
      <c r="Q69" s="8"/>
      <c r="R69" s="8"/>
    </row>
    <row r="70" spans="1:18" ht="57.75" customHeight="1">
      <c r="A70" s="66" t="s">
        <v>112</v>
      </c>
      <c r="B70" s="37" t="s">
        <v>111</v>
      </c>
      <c r="C70" s="4">
        <f t="shared" si="19"/>
        <v>4.4000000000000004</v>
      </c>
      <c r="D70" s="4">
        <v>4.4000000000000004</v>
      </c>
      <c r="E70" s="4"/>
      <c r="F70" s="4"/>
      <c r="G70" s="4">
        <f>H70+I70</f>
        <v>4.8334200000000003</v>
      </c>
      <c r="H70" s="4">
        <v>4.8334200000000003</v>
      </c>
      <c r="I70" s="10"/>
      <c r="J70" s="10"/>
      <c r="K70" s="4">
        <f>G70/C70*100</f>
        <v>109.85045454545454</v>
      </c>
      <c r="L70" s="4">
        <f>H70/D70*100</f>
        <v>109.85045454545454</v>
      </c>
      <c r="M70" s="4"/>
      <c r="N70" s="47"/>
      <c r="O70" s="4">
        <f t="shared" si="2"/>
        <v>0.43341999999999992</v>
      </c>
      <c r="P70" s="4">
        <f t="shared" si="3"/>
        <v>0.43341999999999992</v>
      </c>
      <c r="Q70" s="8"/>
      <c r="R70" s="8"/>
    </row>
    <row r="71" spans="1:18">
      <c r="A71" s="64" t="s">
        <v>113</v>
      </c>
      <c r="B71" s="39" t="s">
        <v>114</v>
      </c>
      <c r="C71" s="8">
        <f t="shared" si="19"/>
        <v>0</v>
      </c>
      <c r="D71" s="8"/>
      <c r="E71" s="8"/>
      <c r="F71" s="8"/>
      <c r="G71" s="8">
        <f>H71+I71</f>
        <v>2.0547399999999998</v>
      </c>
      <c r="H71" s="8">
        <v>2.0547399999999998</v>
      </c>
      <c r="I71" s="8"/>
      <c r="J71" s="8"/>
      <c r="K71" s="8"/>
      <c r="L71" s="8"/>
      <c r="M71" s="8"/>
      <c r="N71" s="20"/>
      <c r="O71" s="8">
        <f t="shared" si="2"/>
        <v>2.0547399999999998</v>
      </c>
      <c r="P71" s="8">
        <f t="shared" si="3"/>
        <v>2.0547399999999998</v>
      </c>
      <c r="Q71" s="8"/>
      <c r="R71" s="8"/>
    </row>
    <row r="72" spans="1:18">
      <c r="A72" s="64" t="s">
        <v>115</v>
      </c>
      <c r="B72" s="70" t="s">
        <v>116</v>
      </c>
      <c r="C72" s="8">
        <f t="shared" si="19"/>
        <v>15934.6</v>
      </c>
      <c r="D72" s="8">
        <f>D73</f>
        <v>15934.6</v>
      </c>
      <c r="E72" s="8"/>
      <c r="F72" s="8"/>
      <c r="G72" s="8">
        <f>H72</f>
        <v>6677.3653100000001</v>
      </c>
      <c r="H72" s="8">
        <f>H73</f>
        <v>6677.3653100000001</v>
      </c>
      <c r="I72" s="8"/>
      <c r="J72" s="8"/>
      <c r="K72" s="8">
        <f t="shared" si="32"/>
        <v>41.90481913571724</v>
      </c>
      <c r="L72" s="8">
        <f t="shared" si="33"/>
        <v>41.90481913571724</v>
      </c>
      <c r="M72" s="8"/>
      <c r="N72" s="20"/>
      <c r="O72" s="8">
        <f t="shared" si="2"/>
        <v>-9257.2346900000011</v>
      </c>
      <c r="P72" s="8">
        <f t="shared" si="3"/>
        <v>-9257.2346900000011</v>
      </c>
      <c r="Q72" s="8"/>
      <c r="R72" s="8"/>
    </row>
    <row r="73" spans="1:18" ht="31.5">
      <c r="A73" s="66" t="s">
        <v>118</v>
      </c>
      <c r="B73" s="71" t="s">
        <v>117</v>
      </c>
      <c r="C73" s="4">
        <f t="shared" si="19"/>
        <v>15934.6</v>
      </c>
      <c r="D73" s="4">
        <v>15934.6</v>
      </c>
      <c r="E73" s="4"/>
      <c r="F73" s="4"/>
      <c r="G73" s="4">
        <f>H73+I73</f>
        <v>6677.3653100000001</v>
      </c>
      <c r="H73" s="4">
        <v>6677.3653100000001</v>
      </c>
      <c r="I73" s="4"/>
      <c r="J73" s="4"/>
      <c r="K73" s="4">
        <f>G73/C73*100</f>
        <v>41.90481913571724</v>
      </c>
      <c r="L73" s="4">
        <f>H73/D73*100</f>
        <v>41.90481913571724</v>
      </c>
      <c r="M73" s="4"/>
      <c r="N73" s="46"/>
      <c r="O73" s="4">
        <f t="shared" si="2"/>
        <v>-9257.2346900000011</v>
      </c>
      <c r="P73" s="4">
        <f t="shared" si="3"/>
        <v>-9257.2346900000011</v>
      </c>
      <c r="Q73" s="8"/>
      <c r="R73" s="8"/>
    </row>
    <row r="74" spans="1:18">
      <c r="A74" s="64" t="s">
        <v>70</v>
      </c>
      <c r="B74" s="70" t="s">
        <v>71</v>
      </c>
      <c r="C74" s="8">
        <f>D74+E74</f>
        <v>5268.4000000000005</v>
      </c>
      <c r="D74" s="8">
        <v>4711.1000000000004</v>
      </c>
      <c r="E74" s="8">
        <v>557.29999999999995</v>
      </c>
      <c r="F74" s="8">
        <v>334</v>
      </c>
      <c r="G74" s="8">
        <f>H74+I74</f>
        <v>4050.11472</v>
      </c>
      <c r="H74" s="8">
        <v>3314.4607599999999</v>
      </c>
      <c r="I74" s="8">
        <v>735.65395999999998</v>
      </c>
      <c r="J74" s="8">
        <f>788.94898-120</f>
        <v>668.94898000000001</v>
      </c>
      <c r="K74" s="8">
        <f>G74/C74*100</f>
        <v>76.875611570875407</v>
      </c>
      <c r="L74" s="8">
        <f>H74/D74*100</f>
        <v>70.354285835579802</v>
      </c>
      <c r="M74" s="8">
        <f>I74/E74*100</f>
        <v>132.00322268078236</v>
      </c>
      <c r="N74" s="20">
        <f>J74/F74*100</f>
        <v>200.28412574850299</v>
      </c>
      <c r="O74" s="8">
        <f t="shared" si="2"/>
        <v>-1218.2852800000005</v>
      </c>
      <c r="P74" s="8">
        <f t="shared" si="3"/>
        <v>-1396.6392400000004</v>
      </c>
      <c r="Q74" s="8">
        <f t="shared" si="4"/>
        <v>178.35396000000003</v>
      </c>
      <c r="R74" s="8">
        <f t="shared" si="5"/>
        <v>334.94898000000001</v>
      </c>
    </row>
    <row r="75" spans="1:18">
      <c r="A75" s="64"/>
      <c r="B75" s="23" t="s">
        <v>12</v>
      </c>
      <c r="C75" s="8"/>
      <c r="D75" s="8"/>
      <c r="E75" s="8"/>
      <c r="F75" s="8"/>
      <c r="G75" s="8"/>
      <c r="H75" s="8"/>
      <c r="I75" s="8"/>
      <c r="J75" s="8"/>
      <c r="K75" s="4"/>
      <c r="L75" s="4"/>
      <c r="M75" s="4"/>
      <c r="N75" s="20"/>
      <c r="O75" s="8"/>
      <c r="P75" s="8"/>
      <c r="Q75" s="8"/>
      <c r="R75" s="8"/>
    </row>
    <row r="76" spans="1:18" s="78" customFormat="1">
      <c r="A76" s="66"/>
      <c r="B76" s="24" t="s">
        <v>13</v>
      </c>
      <c r="C76" s="4">
        <f>D76+E76</f>
        <v>3971.7</v>
      </c>
      <c r="D76" s="4">
        <v>3791</v>
      </c>
      <c r="E76" s="4">
        <v>180.7</v>
      </c>
      <c r="F76" s="4"/>
      <c r="G76" s="4">
        <f t="shared" ref="G76:G81" si="34">H76+I76</f>
        <v>2346.1834699999999</v>
      </c>
      <c r="H76" s="4">
        <f>1926.67605+419.50742</f>
        <v>2346.1834699999999</v>
      </c>
      <c r="I76" s="4">
        <v>0</v>
      </c>
      <c r="J76" s="4"/>
      <c r="K76" s="4">
        <f t="shared" si="32"/>
        <v>59.072524863408617</v>
      </c>
      <c r="L76" s="4">
        <f t="shared" si="33"/>
        <v>61.888247691901874</v>
      </c>
      <c r="M76" s="4">
        <f>I76/E76*100</f>
        <v>0</v>
      </c>
      <c r="N76" s="46"/>
      <c r="O76" s="4">
        <f t="shared" ref="O76:O140" si="35">G76-C76</f>
        <v>-1625.5165299999999</v>
      </c>
      <c r="P76" s="4">
        <f t="shared" ref="P76:P140" si="36">H76-D76</f>
        <v>-1444.8165300000001</v>
      </c>
      <c r="Q76" s="4">
        <f t="shared" ref="Q76:Q140" si="37">I76-E76</f>
        <v>-180.7</v>
      </c>
      <c r="R76" s="4">
        <f t="shared" ref="R76:R140" si="38">J76-F76</f>
        <v>0</v>
      </c>
    </row>
    <row r="77" spans="1:18" s="78" customFormat="1">
      <c r="A77" s="66"/>
      <c r="B77" s="24" t="s">
        <v>14</v>
      </c>
      <c r="C77" s="4">
        <f>D77+E77</f>
        <v>583.1</v>
      </c>
      <c r="D77" s="4">
        <v>583.1</v>
      </c>
      <c r="E77" s="4"/>
      <c r="F77" s="4"/>
      <c r="G77" s="4">
        <f t="shared" si="34"/>
        <v>329.31956000000002</v>
      </c>
      <c r="H77" s="4">
        <v>329.31956000000002</v>
      </c>
      <c r="I77" s="4"/>
      <c r="J77" s="4"/>
      <c r="K77" s="4">
        <f t="shared" si="32"/>
        <v>56.477372663351055</v>
      </c>
      <c r="L77" s="4">
        <f t="shared" si="33"/>
        <v>56.477372663351055</v>
      </c>
      <c r="M77" s="4"/>
      <c r="N77" s="46"/>
      <c r="O77" s="4">
        <f t="shared" si="35"/>
        <v>-253.78044</v>
      </c>
      <c r="P77" s="4">
        <f t="shared" si="36"/>
        <v>-253.78044</v>
      </c>
      <c r="Q77" s="4"/>
      <c r="R77" s="4"/>
    </row>
    <row r="78" spans="1:18">
      <c r="A78" s="64" t="s">
        <v>72</v>
      </c>
      <c r="B78" s="27" t="s">
        <v>73</v>
      </c>
      <c r="C78" s="8">
        <f>D78+E78</f>
        <v>1210.7</v>
      </c>
      <c r="D78" s="8">
        <f>D79+D80+D81+D85</f>
        <v>1121</v>
      </c>
      <c r="E78" s="8">
        <f>E79+E80+E81+E85</f>
        <v>89.7</v>
      </c>
      <c r="F78" s="8">
        <f>F79+F80+F81+F85</f>
        <v>89.7</v>
      </c>
      <c r="G78" s="8">
        <f t="shared" si="34"/>
        <v>1212.80818</v>
      </c>
      <c r="H78" s="8">
        <f>H79+H80+H81+H85</f>
        <v>1212.80818</v>
      </c>
      <c r="I78" s="8">
        <f>I79+I80+I81+I85</f>
        <v>0</v>
      </c>
      <c r="J78" s="8">
        <f>J79+J80+J81+J85</f>
        <v>0</v>
      </c>
      <c r="K78" s="8">
        <f>G78/C78*100</f>
        <v>100.17412901627158</v>
      </c>
      <c r="L78" s="8">
        <f>H78/D78*100</f>
        <v>108.18984656556646</v>
      </c>
      <c r="M78" s="8">
        <f>I78/E78*100</f>
        <v>0</v>
      </c>
      <c r="N78" s="20"/>
      <c r="O78" s="8">
        <f t="shared" si="35"/>
        <v>2.1081799999999475</v>
      </c>
      <c r="P78" s="8">
        <f t="shared" si="36"/>
        <v>91.808179999999993</v>
      </c>
      <c r="Q78" s="8">
        <f t="shared" si="37"/>
        <v>-89.7</v>
      </c>
      <c r="R78" s="8">
        <f t="shared" si="38"/>
        <v>-89.7</v>
      </c>
    </row>
    <row r="79" spans="1:18" ht="31.5">
      <c r="A79" s="65" t="s">
        <v>74</v>
      </c>
      <c r="B79" s="72" t="s">
        <v>75</v>
      </c>
      <c r="C79" s="4">
        <f t="shared" ref="C79:C85" si="39">D79+E79</f>
        <v>23.3</v>
      </c>
      <c r="D79" s="7">
        <v>23.3</v>
      </c>
      <c r="E79" s="8"/>
      <c r="F79" s="8"/>
      <c r="G79" s="7">
        <f t="shared" si="34"/>
        <v>62.163620000000002</v>
      </c>
      <c r="H79" s="7">
        <v>62.163620000000002</v>
      </c>
      <c r="I79" s="8"/>
      <c r="J79" s="8"/>
      <c r="K79" s="4">
        <f t="shared" ref="K79:K85" si="40">G79/C79*100</f>
        <v>266.796652360515</v>
      </c>
      <c r="L79" s="4">
        <f t="shared" ref="L79:L85" si="41">H79/D79*100</f>
        <v>266.796652360515</v>
      </c>
      <c r="M79" s="4"/>
      <c r="N79" s="20"/>
      <c r="O79" s="7">
        <f t="shared" si="35"/>
        <v>38.863619999999997</v>
      </c>
      <c r="P79" s="7">
        <f t="shared" si="36"/>
        <v>38.863619999999997</v>
      </c>
      <c r="Q79" s="7"/>
      <c r="R79" s="7"/>
    </row>
    <row r="80" spans="1:18" ht="31.5">
      <c r="A80" s="65" t="s">
        <v>76</v>
      </c>
      <c r="B80" s="72" t="s">
        <v>77</v>
      </c>
      <c r="C80" s="4">
        <f t="shared" si="39"/>
        <v>30.1</v>
      </c>
      <c r="D80" s="7">
        <v>30.1</v>
      </c>
      <c r="E80" s="8"/>
      <c r="F80" s="8"/>
      <c r="G80" s="7">
        <f t="shared" si="34"/>
        <v>43.237580000000001</v>
      </c>
      <c r="H80" s="7">
        <v>43.237580000000001</v>
      </c>
      <c r="I80" s="8"/>
      <c r="J80" s="8"/>
      <c r="K80" s="4">
        <f t="shared" si="40"/>
        <v>143.64644518272425</v>
      </c>
      <c r="L80" s="4">
        <f t="shared" si="41"/>
        <v>143.64644518272425</v>
      </c>
      <c r="M80" s="4"/>
      <c r="N80" s="20"/>
      <c r="O80" s="7">
        <f t="shared" si="35"/>
        <v>13.13758</v>
      </c>
      <c r="P80" s="7">
        <f t="shared" si="36"/>
        <v>13.13758</v>
      </c>
      <c r="Q80" s="7"/>
      <c r="R80" s="7"/>
    </row>
    <row r="81" spans="1:18" ht="31.5">
      <c r="A81" s="65" t="s">
        <v>78</v>
      </c>
      <c r="B81" s="72" t="s">
        <v>79</v>
      </c>
      <c r="C81" s="7">
        <f t="shared" si="39"/>
        <v>1080.8</v>
      </c>
      <c r="D81" s="7">
        <v>991.1</v>
      </c>
      <c r="E81" s="7">
        <v>89.7</v>
      </c>
      <c r="F81" s="7">
        <v>89.7</v>
      </c>
      <c r="G81" s="7">
        <f t="shared" si="34"/>
        <v>1024.12599</v>
      </c>
      <c r="H81" s="7">
        <v>1024.12599</v>
      </c>
      <c r="I81" s="7">
        <v>0</v>
      </c>
      <c r="J81" s="7"/>
      <c r="K81" s="7">
        <f t="shared" si="40"/>
        <v>94.75629071058475</v>
      </c>
      <c r="L81" s="7">
        <f t="shared" si="41"/>
        <v>103.33225607910404</v>
      </c>
      <c r="M81" s="7">
        <f>I81/E81*100</f>
        <v>0</v>
      </c>
      <c r="N81" s="20"/>
      <c r="O81" s="7">
        <f t="shared" si="35"/>
        <v>-56.674009999999953</v>
      </c>
      <c r="P81" s="7">
        <f t="shared" si="36"/>
        <v>33.025989999999979</v>
      </c>
      <c r="Q81" s="7">
        <f t="shared" si="37"/>
        <v>-89.7</v>
      </c>
      <c r="R81" s="7">
        <f t="shared" si="38"/>
        <v>-89.7</v>
      </c>
    </row>
    <row r="82" spans="1:18" s="78" customFormat="1">
      <c r="A82" s="66"/>
      <c r="B82" s="24" t="s">
        <v>12</v>
      </c>
      <c r="C82" s="4"/>
      <c r="D82" s="10"/>
      <c r="E82" s="10"/>
      <c r="F82" s="10"/>
      <c r="G82" s="4"/>
      <c r="H82" s="10"/>
      <c r="I82" s="10"/>
      <c r="J82" s="10"/>
      <c r="K82" s="4"/>
      <c r="L82" s="4"/>
      <c r="M82" s="4"/>
      <c r="N82" s="47"/>
      <c r="O82" s="7"/>
      <c r="P82" s="7"/>
      <c r="Q82" s="7"/>
      <c r="R82" s="7"/>
    </row>
    <row r="83" spans="1:18" s="78" customFormat="1">
      <c r="A83" s="66"/>
      <c r="B83" s="24" t="s">
        <v>13</v>
      </c>
      <c r="C83" s="4">
        <f t="shared" si="39"/>
        <v>628.1</v>
      </c>
      <c r="D83" s="4">
        <v>628.1</v>
      </c>
      <c r="E83" s="10"/>
      <c r="F83" s="10"/>
      <c r="G83" s="4">
        <f>H83+I83</f>
        <v>855.75576000000001</v>
      </c>
      <c r="H83" s="4">
        <f>697.25559+158.50017</f>
        <v>855.75576000000001</v>
      </c>
      <c r="I83" s="10"/>
      <c r="J83" s="10"/>
      <c r="K83" s="4">
        <f t="shared" si="40"/>
        <v>136.24514567743989</v>
      </c>
      <c r="L83" s="4">
        <f t="shared" si="41"/>
        <v>136.24514567743989</v>
      </c>
      <c r="M83" s="4"/>
      <c r="N83" s="47"/>
      <c r="O83" s="4">
        <f t="shared" si="35"/>
        <v>227.65575999999999</v>
      </c>
      <c r="P83" s="4">
        <f t="shared" si="36"/>
        <v>227.65575999999999</v>
      </c>
      <c r="Q83" s="4"/>
      <c r="R83" s="4"/>
    </row>
    <row r="84" spans="1:18" s="78" customFormat="1">
      <c r="A84" s="66"/>
      <c r="B84" s="24" t="s">
        <v>14</v>
      </c>
      <c r="C84" s="4">
        <f t="shared" si="39"/>
        <v>76.900000000000006</v>
      </c>
      <c r="D84" s="4">
        <v>76.900000000000006</v>
      </c>
      <c r="E84" s="10"/>
      <c r="F84" s="10"/>
      <c r="G84" s="4">
        <f>H84+I84</f>
        <v>43.89105</v>
      </c>
      <c r="H84" s="4">
        <v>43.89105</v>
      </c>
      <c r="I84" s="10"/>
      <c r="J84" s="10"/>
      <c r="K84" s="4">
        <f t="shared" si="40"/>
        <v>57.075487646293887</v>
      </c>
      <c r="L84" s="4">
        <f t="shared" si="41"/>
        <v>57.075487646293887</v>
      </c>
      <c r="M84" s="4"/>
      <c r="N84" s="47"/>
      <c r="O84" s="4">
        <f t="shared" si="35"/>
        <v>-33.008950000000006</v>
      </c>
      <c r="P84" s="4">
        <f t="shared" si="36"/>
        <v>-33.008950000000006</v>
      </c>
      <c r="Q84" s="4"/>
      <c r="R84" s="4"/>
    </row>
    <row r="85" spans="1:18" ht="50.25" customHeight="1">
      <c r="A85" s="65" t="s">
        <v>80</v>
      </c>
      <c r="B85" s="72" t="s">
        <v>81</v>
      </c>
      <c r="C85" s="7">
        <f t="shared" si="39"/>
        <v>76.5</v>
      </c>
      <c r="D85" s="7">
        <v>76.5</v>
      </c>
      <c r="E85" s="8"/>
      <c r="F85" s="8"/>
      <c r="G85" s="7">
        <f>H85+I85</f>
        <v>83.280990000000003</v>
      </c>
      <c r="H85" s="7">
        <v>83.280990000000003</v>
      </c>
      <c r="I85" s="8"/>
      <c r="J85" s="8"/>
      <c r="K85" s="7">
        <f t="shared" si="40"/>
        <v>108.86403921568628</v>
      </c>
      <c r="L85" s="7">
        <f t="shared" si="41"/>
        <v>108.86403921568628</v>
      </c>
      <c r="M85" s="7"/>
      <c r="N85" s="20"/>
      <c r="O85" s="7">
        <f t="shared" si="35"/>
        <v>6.7809900000000027</v>
      </c>
      <c r="P85" s="7">
        <f t="shared" si="36"/>
        <v>6.7809900000000027</v>
      </c>
      <c r="Q85" s="7"/>
      <c r="R85" s="7"/>
    </row>
    <row r="86" spans="1:18">
      <c r="A86" s="65"/>
      <c r="B86" s="24" t="s">
        <v>12</v>
      </c>
      <c r="C86" s="4"/>
      <c r="D86" s="8"/>
      <c r="E86" s="8"/>
      <c r="F86" s="8"/>
      <c r="G86" s="7"/>
      <c r="H86" s="8"/>
      <c r="I86" s="8"/>
      <c r="J86" s="8"/>
      <c r="K86" s="4"/>
      <c r="L86" s="4"/>
      <c r="M86" s="4"/>
      <c r="N86" s="20"/>
      <c r="O86" s="7"/>
      <c r="P86" s="7"/>
      <c r="Q86" s="7"/>
      <c r="R86" s="7"/>
    </row>
    <row r="87" spans="1:18" s="78" customFormat="1">
      <c r="A87" s="66"/>
      <c r="B87" s="24" t="s">
        <v>13</v>
      </c>
      <c r="C87" s="4">
        <f t="shared" ref="C87" si="42">D87+E87</f>
        <v>46.5</v>
      </c>
      <c r="D87" s="4">
        <v>46.5</v>
      </c>
      <c r="E87" s="10"/>
      <c r="F87" s="10"/>
      <c r="G87" s="4">
        <f>H87+I87</f>
        <v>38.153280000000002</v>
      </c>
      <c r="H87" s="4">
        <f>31.2732+6.88008</f>
        <v>38.153280000000002</v>
      </c>
      <c r="I87" s="10"/>
      <c r="J87" s="10"/>
      <c r="K87" s="4">
        <f t="shared" ref="K87" si="43">G87/C87*100</f>
        <v>82.050064516129041</v>
      </c>
      <c r="L87" s="4">
        <f t="shared" ref="L87" si="44">H87/D87*100</f>
        <v>82.050064516129041</v>
      </c>
      <c r="M87" s="4"/>
      <c r="N87" s="47"/>
      <c r="O87" s="4">
        <f t="shared" si="35"/>
        <v>-8.3467199999999977</v>
      </c>
      <c r="P87" s="4">
        <f t="shared" si="36"/>
        <v>-8.3467199999999977</v>
      </c>
      <c r="Q87" s="4"/>
      <c r="R87" s="4"/>
    </row>
    <row r="88" spans="1:18">
      <c r="A88" s="43">
        <v>6000</v>
      </c>
      <c r="B88" s="22" t="s">
        <v>9</v>
      </c>
      <c r="C88" s="3">
        <f t="shared" ref="C88:C100" si="45">D88+E88</f>
        <v>10386.199999999999</v>
      </c>
      <c r="D88" s="3">
        <f>D89+D96+D100</f>
        <v>9258.9</v>
      </c>
      <c r="E88" s="3">
        <f t="shared" ref="E88:J88" si="46">E89+E96+E100</f>
        <v>1127.3</v>
      </c>
      <c r="F88" s="3">
        <f t="shared" si="46"/>
        <v>1127.3</v>
      </c>
      <c r="G88" s="3">
        <f t="shared" si="46"/>
        <v>10602.682119999999</v>
      </c>
      <c r="H88" s="3">
        <f t="shared" si="46"/>
        <v>8358.7243299999991</v>
      </c>
      <c r="I88" s="3">
        <f t="shared" si="46"/>
        <v>2243.9577899999999</v>
      </c>
      <c r="J88" s="3">
        <f t="shared" si="46"/>
        <v>2243.9577899999999</v>
      </c>
      <c r="K88" s="8">
        <f t="shared" ref="K88:N89" si="47">G88/C88*100</f>
        <v>102.08432458454489</v>
      </c>
      <c r="L88" s="8">
        <f t="shared" si="47"/>
        <v>90.277725539750946</v>
      </c>
      <c r="M88" s="8">
        <f t="shared" si="47"/>
        <v>199.05595582364944</v>
      </c>
      <c r="N88" s="20">
        <f t="shared" si="47"/>
        <v>199.05595582364944</v>
      </c>
      <c r="O88" s="8">
        <f t="shared" si="35"/>
        <v>216.48212000000058</v>
      </c>
      <c r="P88" s="8">
        <f t="shared" si="36"/>
        <v>-900.17567000000054</v>
      </c>
      <c r="Q88" s="8">
        <f t="shared" si="37"/>
        <v>1116.65779</v>
      </c>
      <c r="R88" s="8">
        <f t="shared" si="38"/>
        <v>1116.65779</v>
      </c>
    </row>
    <row r="89" spans="1:18" ht="32.25" customHeight="1">
      <c r="A89" s="16">
        <v>6010</v>
      </c>
      <c r="B89" s="40" t="s">
        <v>119</v>
      </c>
      <c r="C89" s="7">
        <f t="shared" si="45"/>
        <v>1042.9000000000001</v>
      </c>
      <c r="D89" s="7">
        <f>SUM(D90:D95)</f>
        <v>32.9</v>
      </c>
      <c r="E89" s="7">
        <f>SUM(E90:E95)</f>
        <v>1010</v>
      </c>
      <c r="F89" s="7">
        <f>SUM(F90:F95)</f>
        <v>1010</v>
      </c>
      <c r="G89" s="7">
        <f t="shared" ref="G89" si="48">H89+I89</f>
        <v>2188.10979</v>
      </c>
      <c r="H89" s="7">
        <f>SUM(H90:H95)</f>
        <v>0</v>
      </c>
      <c r="I89" s="7">
        <f>SUM(I90:I95)</f>
        <v>2188.10979</v>
      </c>
      <c r="J89" s="7">
        <f>SUM(J90:J95)</f>
        <v>2188.10979</v>
      </c>
      <c r="K89" s="7">
        <f t="shared" si="47"/>
        <v>209.8101246524115</v>
      </c>
      <c r="L89" s="7">
        <f t="shared" si="47"/>
        <v>0</v>
      </c>
      <c r="M89" s="7">
        <f t="shared" si="47"/>
        <v>216.6445336633663</v>
      </c>
      <c r="N89" s="7">
        <f t="shared" si="47"/>
        <v>216.6445336633663</v>
      </c>
      <c r="O89" s="7">
        <f t="shared" si="35"/>
        <v>1145.2097899999999</v>
      </c>
      <c r="P89" s="7">
        <f t="shared" si="36"/>
        <v>-32.9</v>
      </c>
      <c r="Q89" s="7">
        <f t="shared" si="37"/>
        <v>1178.10979</v>
      </c>
      <c r="R89" s="7">
        <f t="shared" si="38"/>
        <v>1178.10979</v>
      </c>
    </row>
    <row r="90" spans="1:18" ht="23.25" customHeight="1">
      <c r="A90" s="49">
        <v>6011</v>
      </c>
      <c r="B90" s="45" t="s">
        <v>120</v>
      </c>
      <c r="C90" s="4">
        <f t="shared" si="45"/>
        <v>520.6</v>
      </c>
      <c r="D90" s="4"/>
      <c r="E90" s="4">
        <v>520.6</v>
      </c>
      <c r="F90" s="50">
        <v>520.6</v>
      </c>
      <c r="G90" s="4">
        <f t="shared" ref="G90:G95" si="49">H90</f>
        <v>0</v>
      </c>
      <c r="H90" s="4">
        <v>0</v>
      </c>
      <c r="I90" s="4">
        <v>1408.8706199999999</v>
      </c>
      <c r="J90" s="4">
        <v>1699.1618699999999</v>
      </c>
      <c r="K90" s="7">
        <f t="shared" ref="K90:K137" si="50">G90/C90*100</f>
        <v>0</v>
      </c>
      <c r="L90" s="7"/>
      <c r="M90" s="7">
        <f t="shared" ref="M90:M96" si="51">I90/E90*100</f>
        <v>270.62439877064924</v>
      </c>
      <c r="N90" s="7">
        <f t="shared" ref="N90:N96" si="52">J90/F90*100</f>
        <v>326.3852996542451</v>
      </c>
      <c r="O90" s="4">
        <f t="shared" si="35"/>
        <v>-520.6</v>
      </c>
      <c r="P90" s="4">
        <f t="shared" si="36"/>
        <v>0</v>
      </c>
      <c r="Q90" s="4">
        <f t="shared" si="37"/>
        <v>888.27061999999989</v>
      </c>
      <c r="R90" s="4">
        <f t="shared" si="38"/>
        <v>1178.56187</v>
      </c>
    </row>
    <row r="91" spans="1:18" ht="38.25" customHeight="1">
      <c r="A91" s="49">
        <v>6012</v>
      </c>
      <c r="B91" s="48" t="s">
        <v>121</v>
      </c>
      <c r="C91" s="4">
        <f t="shared" si="45"/>
        <v>0</v>
      </c>
      <c r="D91" s="4"/>
      <c r="E91" s="4"/>
      <c r="F91" s="50"/>
      <c r="G91" s="4">
        <f t="shared" si="49"/>
        <v>0</v>
      </c>
      <c r="H91" s="4">
        <v>0</v>
      </c>
      <c r="I91" s="4">
        <v>485.4</v>
      </c>
      <c r="J91" s="4">
        <v>485.4</v>
      </c>
      <c r="K91" s="7"/>
      <c r="L91" s="7"/>
      <c r="M91" s="7"/>
      <c r="N91" s="7"/>
      <c r="O91" s="4">
        <f t="shared" si="35"/>
        <v>0</v>
      </c>
      <c r="P91" s="4">
        <f t="shared" si="36"/>
        <v>0</v>
      </c>
      <c r="Q91" s="4">
        <f t="shared" si="37"/>
        <v>485.4</v>
      </c>
      <c r="R91" s="4">
        <f t="shared" si="38"/>
        <v>485.4</v>
      </c>
    </row>
    <row r="92" spans="1:18" ht="37.5" customHeight="1">
      <c r="A92" s="49">
        <v>6013</v>
      </c>
      <c r="B92" s="45" t="s">
        <v>122</v>
      </c>
      <c r="C92" s="4">
        <f t="shared" si="45"/>
        <v>522.29999999999995</v>
      </c>
      <c r="D92" s="4">
        <v>32.9</v>
      </c>
      <c r="E92" s="4">
        <v>489.4</v>
      </c>
      <c r="F92" s="50">
        <v>489.4</v>
      </c>
      <c r="G92" s="4">
        <f t="shared" si="49"/>
        <v>0</v>
      </c>
      <c r="H92" s="4">
        <v>0</v>
      </c>
      <c r="I92" s="4">
        <v>0</v>
      </c>
      <c r="J92" s="4"/>
      <c r="K92" s="7">
        <f t="shared" si="50"/>
        <v>0</v>
      </c>
      <c r="L92" s="7">
        <f t="shared" ref="L92:L99" si="53">H92/D92*100</f>
        <v>0</v>
      </c>
      <c r="M92" s="7">
        <f t="shared" si="51"/>
        <v>0</v>
      </c>
      <c r="N92" s="7">
        <f t="shared" si="52"/>
        <v>0</v>
      </c>
      <c r="O92" s="4">
        <f t="shared" si="35"/>
        <v>-522.29999999999995</v>
      </c>
      <c r="P92" s="4">
        <f t="shared" si="36"/>
        <v>-32.9</v>
      </c>
      <c r="Q92" s="4">
        <f t="shared" si="37"/>
        <v>-489.4</v>
      </c>
      <c r="R92" s="4">
        <f t="shared" si="38"/>
        <v>-489.4</v>
      </c>
    </row>
    <row r="93" spans="1:18" ht="23.25" customHeight="1">
      <c r="A93" s="49">
        <v>6015</v>
      </c>
      <c r="B93" s="45" t="s">
        <v>123</v>
      </c>
      <c r="C93" s="4">
        <f t="shared" si="45"/>
        <v>0</v>
      </c>
      <c r="D93" s="4"/>
      <c r="E93" s="4"/>
      <c r="F93" s="50"/>
      <c r="G93" s="4">
        <f t="shared" si="49"/>
        <v>0</v>
      </c>
      <c r="H93" s="4">
        <v>0</v>
      </c>
      <c r="I93" s="4">
        <v>293.83917000000002</v>
      </c>
      <c r="J93" s="4">
        <v>3.54792</v>
      </c>
      <c r="K93" s="7"/>
      <c r="L93" s="7"/>
      <c r="M93" s="7"/>
      <c r="N93" s="7"/>
      <c r="O93" s="4">
        <f t="shared" si="35"/>
        <v>0</v>
      </c>
      <c r="P93" s="4">
        <f t="shared" si="36"/>
        <v>0</v>
      </c>
      <c r="Q93" s="4">
        <f t="shared" si="37"/>
        <v>293.83917000000002</v>
      </c>
      <c r="R93" s="4">
        <f t="shared" si="38"/>
        <v>3.54792</v>
      </c>
    </row>
    <row r="94" spans="1:18" ht="32.25" customHeight="1">
      <c r="A94" s="49">
        <v>6016</v>
      </c>
      <c r="B94" s="45" t="s">
        <v>124</v>
      </c>
      <c r="C94" s="4">
        <f t="shared" si="45"/>
        <v>0</v>
      </c>
      <c r="D94" s="4"/>
      <c r="E94" s="4"/>
      <c r="F94" s="50"/>
      <c r="G94" s="4">
        <f t="shared" si="49"/>
        <v>0</v>
      </c>
      <c r="H94" s="4">
        <v>0</v>
      </c>
      <c r="I94" s="4">
        <v>0</v>
      </c>
      <c r="J94" s="4"/>
      <c r="K94" s="7"/>
      <c r="L94" s="7"/>
      <c r="M94" s="7"/>
      <c r="N94" s="7"/>
      <c r="O94" s="4">
        <f t="shared" si="35"/>
        <v>0</v>
      </c>
      <c r="P94" s="4">
        <f t="shared" si="36"/>
        <v>0</v>
      </c>
      <c r="Q94" s="4">
        <f t="shared" si="37"/>
        <v>0</v>
      </c>
      <c r="R94" s="4">
        <f t="shared" si="38"/>
        <v>0</v>
      </c>
    </row>
    <row r="95" spans="1:18" ht="34.5" customHeight="1">
      <c r="A95" s="49">
        <v>6017</v>
      </c>
      <c r="B95" s="45" t="s">
        <v>125</v>
      </c>
      <c r="C95" s="4">
        <f t="shared" si="45"/>
        <v>0</v>
      </c>
      <c r="D95" s="4"/>
      <c r="E95" s="4"/>
      <c r="F95" s="50"/>
      <c r="G95" s="4">
        <f t="shared" si="49"/>
        <v>0</v>
      </c>
      <c r="H95" s="4">
        <v>0</v>
      </c>
      <c r="I95" s="4">
        <v>0</v>
      </c>
      <c r="J95" s="4"/>
      <c r="K95" s="7"/>
      <c r="L95" s="7"/>
      <c r="M95" s="7"/>
      <c r="N95" s="7"/>
      <c r="O95" s="4">
        <f t="shared" si="35"/>
        <v>0</v>
      </c>
      <c r="P95" s="4">
        <f t="shared" si="36"/>
        <v>0</v>
      </c>
      <c r="Q95" s="4">
        <f t="shared" si="37"/>
        <v>0</v>
      </c>
      <c r="R95" s="4">
        <f t="shared" si="38"/>
        <v>0</v>
      </c>
    </row>
    <row r="96" spans="1:18" ht="17.45" customHeight="1">
      <c r="A96" s="31">
        <v>6030</v>
      </c>
      <c r="B96" s="1" t="s">
        <v>126</v>
      </c>
      <c r="C96" s="7">
        <f t="shared" si="45"/>
        <v>9343.2999999999993</v>
      </c>
      <c r="D96" s="6">
        <v>9226</v>
      </c>
      <c r="E96" s="6">
        <v>117.3</v>
      </c>
      <c r="F96" s="33">
        <v>117.3</v>
      </c>
      <c r="G96" s="7">
        <f t="shared" ref="G96" si="54">H96+I96</f>
        <v>8414.5723299999991</v>
      </c>
      <c r="H96" s="6">
        <v>8358.7243299999991</v>
      </c>
      <c r="I96" s="6">
        <v>55.847999999999999</v>
      </c>
      <c r="J96" s="6">
        <v>55.847999999999999</v>
      </c>
      <c r="K96" s="7">
        <f t="shared" si="50"/>
        <v>90.059960934573439</v>
      </c>
      <c r="L96" s="7">
        <f t="shared" si="53"/>
        <v>90.599656730977657</v>
      </c>
      <c r="M96" s="7">
        <f t="shared" si="51"/>
        <v>47.611253196930946</v>
      </c>
      <c r="N96" s="7">
        <f t="shared" si="52"/>
        <v>47.611253196930946</v>
      </c>
      <c r="O96" s="7">
        <f t="shared" si="35"/>
        <v>-928.72767000000022</v>
      </c>
      <c r="P96" s="7">
        <f t="shared" si="36"/>
        <v>-867.2756700000009</v>
      </c>
      <c r="Q96" s="7">
        <f t="shared" si="37"/>
        <v>-61.451999999999998</v>
      </c>
      <c r="R96" s="7">
        <f t="shared" si="38"/>
        <v>-61.451999999999998</v>
      </c>
    </row>
    <row r="97" spans="1:18" s="78" customFormat="1">
      <c r="A97" s="66"/>
      <c r="B97" s="24" t="s">
        <v>12</v>
      </c>
      <c r="C97" s="4"/>
      <c r="D97" s="10"/>
      <c r="E97" s="10"/>
      <c r="F97" s="10"/>
      <c r="G97" s="4"/>
      <c r="H97" s="10"/>
      <c r="I97" s="10"/>
      <c r="J97" s="10"/>
      <c r="K97" s="4"/>
      <c r="L97" s="4"/>
      <c r="M97" s="4"/>
      <c r="N97" s="4"/>
      <c r="O97" s="4">
        <f t="shared" si="35"/>
        <v>0</v>
      </c>
      <c r="P97" s="4">
        <f t="shared" si="36"/>
        <v>0</v>
      </c>
      <c r="Q97" s="4">
        <f t="shared" si="37"/>
        <v>0</v>
      </c>
      <c r="R97" s="4">
        <f t="shared" si="38"/>
        <v>0</v>
      </c>
    </row>
    <row r="98" spans="1:18" s="78" customFormat="1">
      <c r="A98" s="66"/>
      <c r="B98" s="24" t="s">
        <v>13</v>
      </c>
      <c r="C98" s="4">
        <f t="shared" si="45"/>
        <v>9.1</v>
      </c>
      <c r="D98" s="10">
        <v>9.1</v>
      </c>
      <c r="E98" s="10"/>
      <c r="F98" s="10"/>
      <c r="G98" s="4"/>
      <c r="H98" s="10"/>
      <c r="I98" s="10"/>
      <c r="J98" s="10"/>
      <c r="K98" s="4"/>
      <c r="L98" s="4"/>
      <c r="M98" s="4"/>
      <c r="N98" s="4"/>
      <c r="O98" s="4"/>
      <c r="P98" s="4"/>
      <c r="Q98" s="4"/>
      <c r="R98" s="4"/>
    </row>
    <row r="99" spans="1:18" s="78" customFormat="1">
      <c r="A99" s="66"/>
      <c r="B99" s="24" t="s">
        <v>14</v>
      </c>
      <c r="C99" s="4">
        <f t="shared" si="45"/>
        <v>1230.5999999999999</v>
      </c>
      <c r="D99" s="4">
        <v>1230.5999999999999</v>
      </c>
      <c r="E99" s="10"/>
      <c r="F99" s="10"/>
      <c r="G99" s="4">
        <f t="shared" ref="G99:G137" si="55">H99+I99</f>
        <v>1633.63904</v>
      </c>
      <c r="H99" s="4">
        <v>1633.63904</v>
      </c>
      <c r="I99" s="4"/>
      <c r="J99" s="10"/>
      <c r="K99" s="4">
        <f t="shared" si="50"/>
        <v>132.75142532098164</v>
      </c>
      <c r="L99" s="4">
        <f t="shared" si="53"/>
        <v>132.75142532098164</v>
      </c>
      <c r="M99" s="4"/>
      <c r="N99" s="4"/>
      <c r="O99" s="4">
        <f t="shared" si="35"/>
        <v>403.03904000000011</v>
      </c>
      <c r="P99" s="4">
        <f t="shared" si="36"/>
        <v>403.03904000000011</v>
      </c>
      <c r="Q99" s="4">
        <f t="shared" si="37"/>
        <v>0</v>
      </c>
      <c r="R99" s="4">
        <f t="shared" si="38"/>
        <v>0</v>
      </c>
    </row>
    <row r="100" spans="1:18" ht="33.75" customHeight="1">
      <c r="A100" s="31">
        <v>6082</v>
      </c>
      <c r="B100" s="1" t="s">
        <v>127</v>
      </c>
      <c r="C100" s="7">
        <f t="shared" si="45"/>
        <v>0</v>
      </c>
      <c r="D100" s="6"/>
      <c r="E100" s="6"/>
      <c r="F100" s="33"/>
      <c r="G100" s="7">
        <f t="shared" si="55"/>
        <v>0</v>
      </c>
      <c r="H100" s="6">
        <v>0</v>
      </c>
      <c r="I100" s="6">
        <v>0</v>
      </c>
      <c r="J100" s="6"/>
      <c r="K100" s="7"/>
      <c r="L100" s="7"/>
      <c r="M100" s="7"/>
      <c r="N100" s="7"/>
      <c r="O100" s="7">
        <f t="shared" si="35"/>
        <v>0</v>
      </c>
      <c r="P100" s="7">
        <f t="shared" si="36"/>
        <v>0</v>
      </c>
      <c r="Q100" s="7">
        <f t="shared" si="37"/>
        <v>0</v>
      </c>
      <c r="R100" s="7">
        <f t="shared" si="38"/>
        <v>0</v>
      </c>
    </row>
    <row r="101" spans="1:18" s="61" customFormat="1">
      <c r="A101" s="57" t="s">
        <v>145</v>
      </c>
      <c r="B101" s="26" t="s">
        <v>128</v>
      </c>
      <c r="C101" s="8">
        <f>D101+E101</f>
        <v>10738.6</v>
      </c>
      <c r="D101" s="8">
        <f>D102+D104+D108+D111</f>
        <v>3929.6</v>
      </c>
      <c r="E101" s="8">
        <f t="shared" ref="E101:J101" si="56">E102+E104+E108+E111</f>
        <v>6809</v>
      </c>
      <c r="F101" s="8">
        <f t="shared" si="56"/>
        <v>6809</v>
      </c>
      <c r="G101" s="8">
        <f t="shared" si="56"/>
        <v>21728.357899999999</v>
      </c>
      <c r="H101" s="8">
        <f t="shared" si="56"/>
        <v>5641.4074999999993</v>
      </c>
      <c r="I101" s="8">
        <f t="shared" si="56"/>
        <v>16086.950400000002</v>
      </c>
      <c r="J101" s="8">
        <f t="shared" si="56"/>
        <v>6199.8267000000005</v>
      </c>
      <c r="K101" s="8">
        <f t="shared" si="50"/>
        <v>202.33883280874602</v>
      </c>
      <c r="L101" s="8">
        <f t="shared" ref="L101:L137" si="57">H101/D101*100</f>
        <v>143.56187652687296</v>
      </c>
      <c r="M101" s="8">
        <f t="shared" ref="M101:M137" si="58">I101/E101*100</f>
        <v>236.2601028051109</v>
      </c>
      <c r="N101" s="8">
        <f t="shared" ref="M101:N137" si="59">J101/F101*100</f>
        <v>91.05341019239242</v>
      </c>
      <c r="O101" s="8">
        <f t="shared" si="35"/>
        <v>10989.757899999999</v>
      </c>
      <c r="P101" s="8">
        <f t="shared" si="36"/>
        <v>1711.8074999999994</v>
      </c>
      <c r="Q101" s="8">
        <f t="shared" si="37"/>
        <v>9277.9504000000015</v>
      </c>
      <c r="R101" s="8">
        <f t="shared" si="38"/>
        <v>-609.17329999999947</v>
      </c>
    </row>
    <row r="102" spans="1:18" s="61" customFormat="1">
      <c r="A102" s="57" t="s">
        <v>146</v>
      </c>
      <c r="B102" s="55" t="s">
        <v>129</v>
      </c>
      <c r="C102" s="8">
        <f>D102+E102</f>
        <v>16.899999999999999</v>
      </c>
      <c r="D102" s="8">
        <f>D103</f>
        <v>16.899999999999999</v>
      </c>
      <c r="E102" s="8">
        <f t="shared" ref="E102:J102" si="60">E103</f>
        <v>0</v>
      </c>
      <c r="F102" s="8">
        <f t="shared" si="60"/>
        <v>0</v>
      </c>
      <c r="G102" s="8">
        <f t="shared" si="60"/>
        <v>0</v>
      </c>
      <c r="H102" s="8">
        <f t="shared" si="60"/>
        <v>0</v>
      </c>
      <c r="I102" s="8">
        <f t="shared" si="60"/>
        <v>0</v>
      </c>
      <c r="J102" s="8">
        <f t="shared" si="60"/>
        <v>0</v>
      </c>
      <c r="K102" s="8">
        <f t="shared" si="50"/>
        <v>0</v>
      </c>
      <c r="L102" s="8"/>
      <c r="M102" s="8"/>
      <c r="N102" s="8"/>
      <c r="O102" s="8">
        <f t="shared" si="35"/>
        <v>-16.899999999999999</v>
      </c>
      <c r="P102" s="8">
        <f t="shared" si="36"/>
        <v>-16.899999999999999</v>
      </c>
      <c r="Q102" s="8">
        <f t="shared" si="37"/>
        <v>0</v>
      </c>
      <c r="R102" s="8">
        <f t="shared" si="38"/>
        <v>0</v>
      </c>
    </row>
    <row r="103" spans="1:18">
      <c r="A103" s="58" t="s">
        <v>147</v>
      </c>
      <c r="B103" s="56" t="s">
        <v>130</v>
      </c>
      <c r="C103" s="7">
        <f t="shared" ref="C103:C119" si="61">D103+E103</f>
        <v>16.899999999999999</v>
      </c>
      <c r="D103" s="7">
        <v>16.899999999999999</v>
      </c>
      <c r="E103" s="7"/>
      <c r="F103" s="32"/>
      <c r="G103" s="7">
        <f t="shared" si="55"/>
        <v>0</v>
      </c>
      <c r="H103" s="7">
        <v>0</v>
      </c>
      <c r="I103" s="7">
        <v>0</v>
      </c>
      <c r="J103" s="7"/>
      <c r="K103" s="7">
        <f t="shared" si="50"/>
        <v>0</v>
      </c>
      <c r="L103" s="7"/>
      <c r="M103" s="7"/>
      <c r="N103" s="7"/>
      <c r="O103" s="7">
        <f t="shared" si="35"/>
        <v>-16.899999999999999</v>
      </c>
      <c r="P103" s="7">
        <f t="shared" si="36"/>
        <v>-16.899999999999999</v>
      </c>
      <c r="Q103" s="7">
        <f t="shared" si="37"/>
        <v>0</v>
      </c>
      <c r="R103" s="7">
        <f t="shared" si="38"/>
        <v>0</v>
      </c>
    </row>
    <row r="104" spans="1:18" s="61" customFormat="1">
      <c r="A104" s="57" t="s">
        <v>148</v>
      </c>
      <c r="B104" s="26" t="s">
        <v>131</v>
      </c>
      <c r="C104" s="8">
        <f t="shared" si="61"/>
        <v>6313.3</v>
      </c>
      <c r="D104" s="8">
        <f>D105+D106+D107</f>
        <v>0</v>
      </c>
      <c r="E104" s="8">
        <f t="shared" ref="E104:J104" si="62">E105+E106+E107</f>
        <v>6313.3</v>
      </c>
      <c r="F104" s="8">
        <f t="shared" si="62"/>
        <v>6313.3</v>
      </c>
      <c r="G104" s="8">
        <f t="shared" si="62"/>
        <v>6284.3159500000002</v>
      </c>
      <c r="H104" s="8">
        <f t="shared" si="62"/>
        <v>104</v>
      </c>
      <c r="I104" s="8">
        <f t="shared" si="62"/>
        <v>6180.3159500000002</v>
      </c>
      <c r="J104" s="8">
        <f t="shared" si="62"/>
        <v>6180.3159500000002</v>
      </c>
      <c r="K104" s="8">
        <f t="shared" si="50"/>
        <v>99.540904915020661</v>
      </c>
      <c r="L104" s="8"/>
      <c r="M104" s="8">
        <f t="shared" si="58"/>
        <v>97.893588931303753</v>
      </c>
      <c r="N104" s="8">
        <f t="shared" si="59"/>
        <v>97.893588931303753</v>
      </c>
      <c r="O104" s="8">
        <f t="shared" si="35"/>
        <v>-28.984050000000025</v>
      </c>
      <c r="P104" s="8">
        <f t="shared" si="36"/>
        <v>104</v>
      </c>
      <c r="Q104" s="8">
        <f t="shared" si="37"/>
        <v>-132.98405000000002</v>
      </c>
      <c r="R104" s="8">
        <f t="shared" si="38"/>
        <v>-132.98405000000002</v>
      </c>
    </row>
    <row r="105" spans="1:18">
      <c r="A105" s="58" t="s">
        <v>149</v>
      </c>
      <c r="B105" s="2" t="s">
        <v>132</v>
      </c>
      <c r="C105" s="7">
        <f t="shared" si="61"/>
        <v>0</v>
      </c>
      <c r="D105" s="7"/>
      <c r="E105" s="7"/>
      <c r="F105" s="7"/>
      <c r="G105" s="7">
        <f t="shared" si="55"/>
        <v>0</v>
      </c>
      <c r="H105" s="7">
        <v>0</v>
      </c>
      <c r="I105" s="7">
        <v>0</v>
      </c>
      <c r="J105" s="7"/>
      <c r="K105" s="7"/>
      <c r="L105" s="7"/>
      <c r="M105" s="7"/>
      <c r="N105" s="7"/>
      <c r="O105" s="7">
        <f t="shared" si="35"/>
        <v>0</v>
      </c>
      <c r="P105" s="7">
        <f t="shared" si="36"/>
        <v>0</v>
      </c>
      <c r="Q105" s="7">
        <f t="shared" si="37"/>
        <v>0</v>
      </c>
      <c r="R105" s="7">
        <f t="shared" si="38"/>
        <v>0</v>
      </c>
    </row>
    <row r="106" spans="1:18" ht="33.75" customHeight="1">
      <c r="A106" s="58" t="s">
        <v>150</v>
      </c>
      <c r="B106" s="51" t="s">
        <v>133</v>
      </c>
      <c r="C106" s="7">
        <f t="shared" si="61"/>
        <v>0</v>
      </c>
      <c r="D106" s="7"/>
      <c r="E106" s="7"/>
      <c r="F106" s="7"/>
      <c r="G106" s="7">
        <f t="shared" si="55"/>
        <v>104</v>
      </c>
      <c r="H106" s="7">
        <v>104</v>
      </c>
      <c r="I106" s="7">
        <v>0</v>
      </c>
      <c r="J106" s="7"/>
      <c r="K106" s="7"/>
      <c r="L106" s="7"/>
      <c r="M106" s="7"/>
      <c r="N106" s="7"/>
      <c r="O106" s="7">
        <f t="shared" si="35"/>
        <v>104</v>
      </c>
      <c r="P106" s="7">
        <f t="shared" si="36"/>
        <v>104</v>
      </c>
      <c r="Q106" s="7">
        <f t="shared" si="37"/>
        <v>0</v>
      </c>
      <c r="R106" s="7">
        <f t="shared" si="38"/>
        <v>0</v>
      </c>
    </row>
    <row r="107" spans="1:18" ht="31.5">
      <c r="A107" s="58" t="s">
        <v>151</v>
      </c>
      <c r="B107" s="52" t="s">
        <v>134</v>
      </c>
      <c r="C107" s="7">
        <f t="shared" si="61"/>
        <v>6313.3</v>
      </c>
      <c r="D107" s="7"/>
      <c r="E107" s="7">
        <v>6313.3</v>
      </c>
      <c r="F107" s="7">
        <v>6313.3</v>
      </c>
      <c r="G107" s="7">
        <f t="shared" si="55"/>
        <v>6180.3159500000002</v>
      </c>
      <c r="H107" s="7">
        <v>0</v>
      </c>
      <c r="I107" s="7">
        <v>6180.3159500000002</v>
      </c>
      <c r="J107" s="7">
        <v>6180.3159500000002</v>
      </c>
      <c r="K107" s="7">
        <f t="shared" si="50"/>
        <v>97.893588931303753</v>
      </c>
      <c r="L107" s="7"/>
      <c r="M107" s="7">
        <f t="shared" si="58"/>
        <v>97.893588931303753</v>
      </c>
      <c r="N107" s="7">
        <f t="shared" si="59"/>
        <v>97.893588931303753</v>
      </c>
      <c r="O107" s="7">
        <f t="shared" si="35"/>
        <v>-132.98405000000002</v>
      </c>
      <c r="P107" s="7">
        <f t="shared" si="36"/>
        <v>0</v>
      </c>
      <c r="Q107" s="7">
        <f t="shared" si="37"/>
        <v>-132.98405000000002</v>
      </c>
      <c r="R107" s="7">
        <f t="shared" si="38"/>
        <v>-132.98405000000002</v>
      </c>
    </row>
    <row r="108" spans="1:18" s="61" customFormat="1" ht="31.5">
      <c r="A108" s="57" t="s">
        <v>152</v>
      </c>
      <c r="B108" s="26" t="s">
        <v>135</v>
      </c>
      <c r="C108" s="8">
        <f t="shared" si="61"/>
        <v>486</v>
      </c>
      <c r="D108" s="8">
        <f>D109</f>
        <v>27.8</v>
      </c>
      <c r="E108" s="8">
        <f t="shared" ref="E108:J109" si="63">E109</f>
        <v>458.2</v>
      </c>
      <c r="F108" s="8">
        <f t="shared" si="63"/>
        <v>458.2</v>
      </c>
      <c r="G108" s="8">
        <f t="shared" si="63"/>
        <v>4854.0314600000002</v>
      </c>
      <c r="H108" s="8">
        <f t="shared" si="63"/>
        <v>4834.5207099999998</v>
      </c>
      <c r="I108" s="8">
        <f t="shared" si="63"/>
        <v>19.510750000000002</v>
      </c>
      <c r="J108" s="8">
        <f t="shared" si="63"/>
        <v>19.510750000000002</v>
      </c>
      <c r="K108" s="8">
        <f t="shared" si="50"/>
        <v>998.77190534979422</v>
      </c>
      <c r="L108" s="8">
        <f t="shared" si="57"/>
        <v>17390.362266187047</v>
      </c>
      <c r="M108" s="8">
        <f t="shared" si="58"/>
        <v>4.2581296377127895</v>
      </c>
      <c r="N108" s="8">
        <f t="shared" si="59"/>
        <v>4.2581296377127895</v>
      </c>
      <c r="O108" s="8">
        <f t="shared" si="35"/>
        <v>4368.0314600000002</v>
      </c>
      <c r="P108" s="8">
        <f t="shared" si="36"/>
        <v>4806.7207099999996</v>
      </c>
      <c r="Q108" s="8">
        <f t="shared" si="37"/>
        <v>-438.68925000000002</v>
      </c>
      <c r="R108" s="8">
        <f t="shared" si="38"/>
        <v>-438.68925000000002</v>
      </c>
    </row>
    <row r="109" spans="1:18" ht="33" customHeight="1">
      <c r="A109" s="58" t="s">
        <v>153</v>
      </c>
      <c r="B109" s="2" t="s">
        <v>136</v>
      </c>
      <c r="C109" s="7">
        <f t="shared" si="61"/>
        <v>486</v>
      </c>
      <c r="D109" s="7">
        <f>D110</f>
        <v>27.8</v>
      </c>
      <c r="E109" s="7">
        <f t="shared" si="63"/>
        <v>458.2</v>
      </c>
      <c r="F109" s="7">
        <f t="shared" si="63"/>
        <v>458.2</v>
      </c>
      <c r="G109" s="7">
        <f t="shared" si="63"/>
        <v>4854.0314600000002</v>
      </c>
      <c r="H109" s="7">
        <f t="shared" si="63"/>
        <v>4834.5207099999998</v>
      </c>
      <c r="I109" s="7">
        <f t="shared" si="63"/>
        <v>19.510750000000002</v>
      </c>
      <c r="J109" s="7">
        <f t="shared" si="63"/>
        <v>19.510750000000002</v>
      </c>
      <c r="K109" s="7">
        <f t="shared" si="50"/>
        <v>998.77190534979422</v>
      </c>
      <c r="L109" s="7">
        <f t="shared" si="57"/>
        <v>17390.362266187047</v>
      </c>
      <c r="M109" s="7">
        <f t="shared" si="58"/>
        <v>4.2581296377127895</v>
      </c>
      <c r="N109" s="7">
        <f t="shared" si="59"/>
        <v>4.2581296377127895</v>
      </c>
      <c r="O109" s="7">
        <f t="shared" si="35"/>
        <v>4368.0314600000002</v>
      </c>
      <c r="P109" s="7">
        <f t="shared" si="36"/>
        <v>4806.7207099999996</v>
      </c>
      <c r="Q109" s="7">
        <f t="shared" si="37"/>
        <v>-438.68925000000002</v>
      </c>
      <c r="R109" s="7">
        <f t="shared" si="38"/>
        <v>-438.68925000000002</v>
      </c>
    </row>
    <row r="110" spans="1:18" s="78" customFormat="1" ht="31.5">
      <c r="A110" s="59" t="s">
        <v>154</v>
      </c>
      <c r="B110" s="45" t="s">
        <v>137</v>
      </c>
      <c r="C110" s="4">
        <f t="shared" si="61"/>
        <v>486</v>
      </c>
      <c r="D110" s="4">
        <v>27.8</v>
      </c>
      <c r="E110" s="4">
        <v>458.2</v>
      </c>
      <c r="F110" s="4">
        <v>458.2</v>
      </c>
      <c r="G110" s="4">
        <f t="shared" si="55"/>
        <v>4854.0314600000002</v>
      </c>
      <c r="H110" s="4">
        <v>4834.5207099999998</v>
      </c>
      <c r="I110" s="4">
        <v>19.510750000000002</v>
      </c>
      <c r="J110" s="4">
        <v>19.510750000000002</v>
      </c>
      <c r="K110" s="4">
        <f t="shared" si="50"/>
        <v>998.77190534979422</v>
      </c>
      <c r="L110" s="4">
        <f t="shared" si="57"/>
        <v>17390.362266187047</v>
      </c>
      <c r="M110" s="4">
        <f t="shared" si="58"/>
        <v>4.2581296377127895</v>
      </c>
      <c r="N110" s="4">
        <f t="shared" si="59"/>
        <v>4.2581296377127895</v>
      </c>
      <c r="O110" s="4">
        <f t="shared" si="35"/>
        <v>4368.0314600000002</v>
      </c>
      <c r="P110" s="4">
        <f t="shared" si="36"/>
        <v>4806.7207099999996</v>
      </c>
      <c r="Q110" s="4">
        <f t="shared" si="37"/>
        <v>-438.68925000000002</v>
      </c>
      <c r="R110" s="4">
        <f t="shared" si="38"/>
        <v>-438.68925000000002</v>
      </c>
    </row>
    <row r="111" spans="1:18" s="61" customFormat="1">
      <c r="A111" s="57" t="s">
        <v>155</v>
      </c>
      <c r="B111" s="53" t="s">
        <v>138</v>
      </c>
      <c r="C111" s="8">
        <f t="shared" si="61"/>
        <v>3922.4</v>
      </c>
      <c r="D111" s="8">
        <f>D112+D113+D114+D115+D116+D117</f>
        <v>3884.9</v>
      </c>
      <c r="E111" s="8">
        <f t="shared" ref="E111:J111" si="64">E112+E113+E114+E115+E116+E117</f>
        <v>37.5</v>
      </c>
      <c r="F111" s="8">
        <f t="shared" si="64"/>
        <v>37.5</v>
      </c>
      <c r="G111" s="8">
        <f t="shared" si="64"/>
        <v>10590.010489999999</v>
      </c>
      <c r="H111" s="8">
        <f t="shared" si="64"/>
        <v>702.88679000000002</v>
      </c>
      <c r="I111" s="8">
        <f t="shared" si="64"/>
        <v>9887.1237000000001</v>
      </c>
      <c r="J111" s="8">
        <f t="shared" si="64"/>
        <v>0</v>
      </c>
      <c r="K111" s="8">
        <f t="shared" si="50"/>
        <v>269.98803003263305</v>
      </c>
      <c r="L111" s="8">
        <f t="shared" si="57"/>
        <v>18.092789775798604</v>
      </c>
      <c r="M111" s="8">
        <f t="shared" si="58"/>
        <v>26365.663199999999</v>
      </c>
      <c r="N111" s="8">
        <f t="shared" si="59"/>
        <v>0</v>
      </c>
      <c r="O111" s="8">
        <f t="shared" si="35"/>
        <v>6667.6104899999991</v>
      </c>
      <c r="P111" s="8">
        <f t="shared" si="36"/>
        <v>-3182.0132100000001</v>
      </c>
      <c r="Q111" s="8">
        <f t="shared" si="37"/>
        <v>9849.6237000000001</v>
      </c>
      <c r="R111" s="8">
        <f t="shared" si="38"/>
        <v>-37.5</v>
      </c>
    </row>
    <row r="112" spans="1:18">
      <c r="A112" s="58" t="s">
        <v>156</v>
      </c>
      <c r="B112" s="52" t="s">
        <v>139</v>
      </c>
      <c r="C112" s="7">
        <f t="shared" si="61"/>
        <v>0</v>
      </c>
      <c r="D112" s="7"/>
      <c r="E112" s="7"/>
      <c r="F112" s="32"/>
      <c r="G112" s="7">
        <f t="shared" si="55"/>
        <v>0</v>
      </c>
      <c r="H112" s="7">
        <v>0</v>
      </c>
      <c r="I112" s="7">
        <v>0</v>
      </c>
      <c r="J112" s="7"/>
      <c r="K112" s="7"/>
      <c r="L112" s="7"/>
      <c r="M112" s="7"/>
      <c r="N112" s="7"/>
      <c r="O112" s="7">
        <f t="shared" si="35"/>
        <v>0</v>
      </c>
      <c r="P112" s="7">
        <f t="shared" si="36"/>
        <v>0</v>
      </c>
      <c r="Q112" s="7">
        <f t="shared" si="37"/>
        <v>0</v>
      </c>
      <c r="R112" s="7">
        <f t="shared" si="38"/>
        <v>0</v>
      </c>
    </row>
    <row r="113" spans="1:18">
      <c r="A113" s="58" t="s">
        <v>157</v>
      </c>
      <c r="B113" s="2" t="s">
        <v>82</v>
      </c>
      <c r="C113" s="7">
        <f t="shared" si="61"/>
        <v>46.6</v>
      </c>
      <c r="D113" s="7">
        <v>9.1</v>
      </c>
      <c r="E113" s="7">
        <v>37.5</v>
      </c>
      <c r="F113" s="32">
        <v>37.5</v>
      </c>
      <c r="G113" s="7">
        <f t="shared" si="55"/>
        <v>9.1398799999999998</v>
      </c>
      <c r="H113" s="7">
        <v>9.1398799999999998</v>
      </c>
      <c r="I113" s="7">
        <v>0</v>
      </c>
      <c r="J113" s="7"/>
      <c r="K113" s="7">
        <f t="shared" si="50"/>
        <v>19.613476394849787</v>
      </c>
      <c r="L113" s="7">
        <f t="shared" si="57"/>
        <v>100.43824175824176</v>
      </c>
      <c r="M113" s="7">
        <f t="shared" si="58"/>
        <v>0</v>
      </c>
      <c r="N113" s="7">
        <f t="shared" si="59"/>
        <v>0</v>
      </c>
      <c r="O113" s="7">
        <f t="shared" si="35"/>
        <v>-37.460120000000003</v>
      </c>
      <c r="P113" s="7">
        <f t="shared" si="36"/>
        <v>3.9880000000000138E-2</v>
      </c>
      <c r="Q113" s="7">
        <f t="shared" si="37"/>
        <v>-37.5</v>
      </c>
      <c r="R113" s="7">
        <f t="shared" si="38"/>
        <v>-37.5</v>
      </c>
    </row>
    <row r="114" spans="1:18" ht="31.5">
      <c r="A114" s="58" t="s">
        <v>158</v>
      </c>
      <c r="B114" s="2" t="s">
        <v>140</v>
      </c>
      <c r="C114" s="7">
        <f t="shared" si="61"/>
        <v>0</v>
      </c>
      <c r="D114" s="7"/>
      <c r="E114" s="7"/>
      <c r="F114" s="32"/>
      <c r="G114" s="7">
        <f t="shared" si="55"/>
        <v>0</v>
      </c>
      <c r="H114" s="7">
        <v>0</v>
      </c>
      <c r="I114" s="7"/>
      <c r="J114" s="7"/>
      <c r="K114" s="7"/>
      <c r="L114" s="7"/>
      <c r="M114" s="7"/>
      <c r="N114" s="7"/>
      <c r="O114" s="7">
        <f t="shared" si="35"/>
        <v>0</v>
      </c>
      <c r="P114" s="7">
        <f t="shared" si="36"/>
        <v>0</v>
      </c>
      <c r="Q114" s="7">
        <f t="shared" si="37"/>
        <v>0</v>
      </c>
      <c r="R114" s="7">
        <f t="shared" si="38"/>
        <v>0</v>
      </c>
    </row>
    <row r="115" spans="1:18">
      <c r="A115" s="58" t="s">
        <v>159</v>
      </c>
      <c r="B115" s="51" t="s">
        <v>83</v>
      </c>
      <c r="C115" s="7">
        <f t="shared" si="61"/>
        <v>0</v>
      </c>
      <c r="D115" s="7"/>
      <c r="E115" s="7"/>
      <c r="F115" s="32"/>
      <c r="G115" s="7">
        <f t="shared" si="55"/>
        <v>0</v>
      </c>
      <c r="H115" s="7">
        <v>0</v>
      </c>
      <c r="I115" s="7"/>
      <c r="J115" s="7"/>
      <c r="K115" s="7"/>
      <c r="L115" s="7"/>
      <c r="M115" s="7"/>
      <c r="N115" s="7"/>
      <c r="O115" s="7">
        <f t="shared" si="35"/>
        <v>0</v>
      </c>
      <c r="P115" s="7">
        <f t="shared" si="36"/>
        <v>0</v>
      </c>
      <c r="Q115" s="7">
        <f t="shared" si="37"/>
        <v>0</v>
      </c>
      <c r="R115" s="7">
        <f t="shared" si="38"/>
        <v>0</v>
      </c>
    </row>
    <row r="116" spans="1:18">
      <c r="A116" s="58" t="s">
        <v>160</v>
      </c>
      <c r="B116" s="51" t="s">
        <v>141</v>
      </c>
      <c r="C116" s="7">
        <f t="shared" si="61"/>
        <v>0</v>
      </c>
      <c r="D116" s="7"/>
      <c r="E116" s="7"/>
      <c r="F116" s="32"/>
      <c r="G116" s="7">
        <f t="shared" si="55"/>
        <v>36.271000000000001</v>
      </c>
      <c r="H116" s="7">
        <v>36.271000000000001</v>
      </c>
      <c r="I116" s="7"/>
      <c r="J116" s="7"/>
      <c r="K116" s="7"/>
      <c r="L116" s="7"/>
      <c r="M116" s="7"/>
      <c r="N116" s="7"/>
      <c r="O116" s="7">
        <f t="shared" si="35"/>
        <v>36.271000000000001</v>
      </c>
      <c r="P116" s="7">
        <f t="shared" si="36"/>
        <v>36.271000000000001</v>
      </c>
      <c r="Q116" s="7">
        <f t="shared" si="37"/>
        <v>0</v>
      </c>
      <c r="R116" s="7">
        <f t="shared" si="38"/>
        <v>0</v>
      </c>
    </row>
    <row r="117" spans="1:18">
      <c r="A117" s="58" t="s">
        <v>161</v>
      </c>
      <c r="B117" s="51" t="s">
        <v>142</v>
      </c>
      <c r="C117" s="7">
        <f t="shared" si="61"/>
        <v>3875.8</v>
      </c>
      <c r="D117" s="7">
        <f>D118+D119</f>
        <v>3875.8</v>
      </c>
      <c r="E117" s="7">
        <f t="shared" ref="E117:J117" si="65">E118+E119</f>
        <v>0</v>
      </c>
      <c r="F117" s="7">
        <f t="shared" si="65"/>
        <v>0</v>
      </c>
      <c r="G117" s="7">
        <f t="shared" si="65"/>
        <v>10544.599609999999</v>
      </c>
      <c r="H117" s="7">
        <f t="shared" si="65"/>
        <v>657.47591</v>
      </c>
      <c r="I117" s="7">
        <f t="shared" si="65"/>
        <v>9887.1237000000001</v>
      </c>
      <c r="J117" s="7">
        <f t="shared" si="65"/>
        <v>0</v>
      </c>
      <c r="K117" s="7">
        <f t="shared" si="50"/>
        <v>272.06253186438926</v>
      </c>
      <c r="L117" s="7">
        <f t="shared" si="57"/>
        <v>16.963618091748799</v>
      </c>
      <c r="M117" s="7"/>
      <c r="N117" s="7"/>
      <c r="O117" s="7">
        <f t="shared" si="35"/>
        <v>6668.7996099999991</v>
      </c>
      <c r="P117" s="7">
        <f t="shared" si="36"/>
        <v>-3218.3240900000001</v>
      </c>
      <c r="Q117" s="7">
        <f t="shared" si="37"/>
        <v>9887.1237000000001</v>
      </c>
      <c r="R117" s="7">
        <f t="shared" si="38"/>
        <v>0</v>
      </c>
    </row>
    <row r="118" spans="1:18" s="78" customFormat="1" ht="94.5">
      <c r="A118" s="59" t="s">
        <v>162</v>
      </c>
      <c r="B118" s="54" t="s">
        <v>143</v>
      </c>
      <c r="C118" s="4">
        <f t="shared" si="61"/>
        <v>3875.8</v>
      </c>
      <c r="D118" s="4">
        <v>3875.8</v>
      </c>
      <c r="E118" s="4"/>
      <c r="F118" s="50"/>
      <c r="G118" s="4">
        <f t="shared" si="55"/>
        <v>9887.1237000000001</v>
      </c>
      <c r="H118" s="4">
        <v>0</v>
      </c>
      <c r="I118" s="4">
        <v>9887.1237000000001</v>
      </c>
      <c r="J118" s="4"/>
      <c r="K118" s="4">
        <f t="shared" si="50"/>
        <v>255.09891377264049</v>
      </c>
      <c r="L118" s="4"/>
      <c r="M118" s="4"/>
      <c r="N118" s="4"/>
      <c r="O118" s="4">
        <f t="shared" si="35"/>
        <v>6011.3236999999999</v>
      </c>
      <c r="P118" s="4">
        <f t="shared" si="36"/>
        <v>-3875.8</v>
      </c>
      <c r="Q118" s="4">
        <f t="shared" si="37"/>
        <v>9887.1237000000001</v>
      </c>
      <c r="R118" s="4">
        <f t="shared" si="38"/>
        <v>0</v>
      </c>
    </row>
    <row r="119" spans="1:18" s="78" customFormat="1">
      <c r="A119" s="60" t="s">
        <v>163</v>
      </c>
      <c r="B119" s="48" t="s">
        <v>144</v>
      </c>
      <c r="C119" s="4">
        <f t="shared" si="61"/>
        <v>0</v>
      </c>
      <c r="D119" s="4"/>
      <c r="E119" s="4"/>
      <c r="F119" s="50"/>
      <c r="G119" s="4">
        <f t="shared" si="55"/>
        <v>657.47591</v>
      </c>
      <c r="H119" s="4">
        <v>657.47591</v>
      </c>
      <c r="I119" s="4"/>
      <c r="J119" s="4"/>
      <c r="K119" s="4"/>
      <c r="L119" s="4"/>
      <c r="M119" s="4"/>
      <c r="N119" s="4"/>
      <c r="O119" s="7">
        <f t="shared" si="35"/>
        <v>657.47591</v>
      </c>
      <c r="P119" s="7">
        <f t="shared" si="36"/>
        <v>657.47591</v>
      </c>
      <c r="Q119" s="7">
        <f t="shared" si="37"/>
        <v>0</v>
      </c>
      <c r="R119" s="7">
        <f t="shared" si="38"/>
        <v>0</v>
      </c>
    </row>
    <row r="120" spans="1:18" s="76" customFormat="1">
      <c r="A120" s="57" t="s">
        <v>177</v>
      </c>
      <c r="B120" s="26" t="s">
        <v>164</v>
      </c>
      <c r="C120" s="35">
        <f>D120+E120</f>
        <v>6841.9</v>
      </c>
      <c r="D120" s="35">
        <f>D121+D126+D130+D132</f>
        <v>556</v>
      </c>
      <c r="E120" s="35">
        <f t="shared" ref="E120:J120" si="66">E121+E126+E130+E132</f>
        <v>6285.9</v>
      </c>
      <c r="F120" s="35">
        <f t="shared" si="66"/>
        <v>6285.9</v>
      </c>
      <c r="G120" s="35">
        <f t="shared" si="66"/>
        <v>7172.59555</v>
      </c>
      <c r="H120" s="35">
        <f t="shared" si="66"/>
        <v>870.85610000000008</v>
      </c>
      <c r="I120" s="35">
        <f t="shared" si="66"/>
        <v>6301.73945</v>
      </c>
      <c r="J120" s="35">
        <f t="shared" si="66"/>
        <v>6222.6394499999997</v>
      </c>
      <c r="K120" s="8">
        <f t="shared" si="50"/>
        <v>104.83338765547583</v>
      </c>
      <c r="L120" s="8">
        <f t="shared" si="57"/>
        <v>156.6287949640288</v>
      </c>
      <c r="M120" s="8">
        <f t="shared" si="58"/>
        <v>100.25198380502395</v>
      </c>
      <c r="N120" s="8">
        <f t="shared" si="59"/>
        <v>98.993611893284978</v>
      </c>
      <c r="O120" s="8">
        <f t="shared" si="35"/>
        <v>330.69555000000037</v>
      </c>
      <c r="P120" s="8">
        <f t="shared" si="36"/>
        <v>314.85610000000008</v>
      </c>
      <c r="Q120" s="8">
        <f t="shared" si="37"/>
        <v>15.839450000000397</v>
      </c>
      <c r="R120" s="8">
        <f t="shared" si="38"/>
        <v>-63.260549999999967</v>
      </c>
    </row>
    <row r="121" spans="1:18" s="61" customFormat="1" ht="31.5">
      <c r="A121" s="57" t="s">
        <v>178</v>
      </c>
      <c r="B121" s="26" t="s">
        <v>165</v>
      </c>
      <c r="C121" s="35">
        <f t="shared" ref="C121:C132" si="67">D121+E121</f>
        <v>44.8</v>
      </c>
      <c r="D121" s="35">
        <f>D122</f>
        <v>44.8</v>
      </c>
      <c r="E121" s="35">
        <f t="shared" ref="E121:I121" si="68">E122</f>
        <v>0</v>
      </c>
      <c r="F121" s="35">
        <f t="shared" si="68"/>
        <v>0</v>
      </c>
      <c r="G121" s="35">
        <f t="shared" si="68"/>
        <v>52.610210000000002</v>
      </c>
      <c r="H121" s="35">
        <f t="shared" si="68"/>
        <v>52.610210000000002</v>
      </c>
      <c r="I121" s="35">
        <f t="shared" si="68"/>
        <v>0</v>
      </c>
      <c r="J121" s="35">
        <f>J122</f>
        <v>0</v>
      </c>
      <c r="K121" s="8">
        <f t="shared" si="50"/>
        <v>117.43350446428573</v>
      </c>
      <c r="L121" s="8">
        <f t="shared" si="57"/>
        <v>117.43350446428573</v>
      </c>
      <c r="M121" s="8"/>
      <c r="N121" s="8"/>
      <c r="O121" s="8">
        <f t="shared" si="35"/>
        <v>7.810210000000005</v>
      </c>
      <c r="P121" s="8">
        <f t="shared" si="36"/>
        <v>7.810210000000005</v>
      </c>
      <c r="Q121" s="8">
        <f t="shared" si="37"/>
        <v>0</v>
      </c>
      <c r="R121" s="8">
        <f t="shared" si="38"/>
        <v>0</v>
      </c>
    </row>
    <row r="122" spans="1:18" ht="41.25" customHeight="1">
      <c r="A122" s="58" t="s">
        <v>179</v>
      </c>
      <c r="B122" s="2" t="s">
        <v>166</v>
      </c>
      <c r="C122" s="32">
        <f t="shared" si="67"/>
        <v>44.8</v>
      </c>
      <c r="D122" s="7">
        <v>44.8</v>
      </c>
      <c r="E122" s="7"/>
      <c r="F122" s="7"/>
      <c r="G122" s="7">
        <f t="shared" si="55"/>
        <v>52.610210000000002</v>
      </c>
      <c r="H122" s="7">
        <v>52.610210000000002</v>
      </c>
      <c r="I122" s="7"/>
      <c r="J122" s="7"/>
      <c r="K122" s="7">
        <f t="shared" si="50"/>
        <v>117.43350446428573</v>
      </c>
      <c r="L122" s="7">
        <f t="shared" si="57"/>
        <v>117.43350446428573</v>
      </c>
      <c r="M122" s="7"/>
      <c r="N122" s="7"/>
      <c r="O122" s="7">
        <f t="shared" si="35"/>
        <v>7.810210000000005</v>
      </c>
      <c r="P122" s="7">
        <f t="shared" si="36"/>
        <v>7.810210000000005</v>
      </c>
      <c r="Q122" s="7">
        <f t="shared" si="37"/>
        <v>0</v>
      </c>
      <c r="R122" s="7">
        <f t="shared" si="38"/>
        <v>0</v>
      </c>
    </row>
    <row r="123" spans="1:18" s="78" customFormat="1" ht="19.5" customHeight="1">
      <c r="A123" s="59"/>
      <c r="B123" s="24" t="s">
        <v>12</v>
      </c>
      <c r="C123" s="50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7"/>
      <c r="P123" s="7"/>
      <c r="Q123" s="7"/>
      <c r="R123" s="7"/>
    </row>
    <row r="124" spans="1:18" s="78" customFormat="1" ht="19.5" customHeight="1">
      <c r="A124" s="59"/>
      <c r="B124" s="24" t="s">
        <v>13</v>
      </c>
      <c r="C124" s="50">
        <f>D124</f>
        <v>38.700000000000003</v>
      </c>
      <c r="D124" s="4">
        <v>38.700000000000003</v>
      </c>
      <c r="E124" s="4"/>
      <c r="F124" s="4"/>
      <c r="G124" s="4">
        <f t="shared" si="55"/>
        <v>48.684100000000001</v>
      </c>
      <c r="H124" s="4">
        <f>39.905+8.7791</f>
        <v>48.684100000000001</v>
      </c>
      <c r="I124" s="4"/>
      <c r="J124" s="4"/>
      <c r="K124" s="4">
        <f t="shared" si="50"/>
        <v>125.7987080103359</v>
      </c>
      <c r="L124" s="4">
        <f t="shared" si="57"/>
        <v>125.7987080103359</v>
      </c>
      <c r="M124" s="4"/>
      <c r="N124" s="4"/>
      <c r="O124" s="4">
        <f t="shared" si="35"/>
        <v>9.984099999999998</v>
      </c>
      <c r="P124" s="4">
        <f t="shared" si="36"/>
        <v>9.984099999999998</v>
      </c>
      <c r="Q124" s="4">
        <f t="shared" si="37"/>
        <v>0</v>
      </c>
      <c r="R124" s="4">
        <f t="shared" si="38"/>
        <v>0</v>
      </c>
    </row>
    <row r="125" spans="1:18" s="78" customFormat="1" ht="19.5" customHeight="1">
      <c r="A125" s="59"/>
      <c r="B125" s="24" t="s">
        <v>14</v>
      </c>
      <c r="C125" s="50">
        <f>D125</f>
        <v>4.9000000000000004</v>
      </c>
      <c r="D125" s="4">
        <v>4.9000000000000004</v>
      </c>
      <c r="E125" s="4"/>
      <c r="F125" s="4"/>
      <c r="G125" s="4">
        <f t="shared" si="55"/>
        <v>3.74857</v>
      </c>
      <c r="H125" s="4">
        <v>3.74857</v>
      </c>
      <c r="I125" s="4"/>
      <c r="J125" s="4"/>
      <c r="K125" s="4">
        <f t="shared" si="50"/>
        <v>76.501428571428562</v>
      </c>
      <c r="L125" s="4">
        <f t="shared" si="57"/>
        <v>76.501428571428562</v>
      </c>
      <c r="M125" s="4"/>
      <c r="N125" s="4"/>
      <c r="O125" s="4">
        <f t="shared" si="35"/>
        <v>-1.1514300000000004</v>
      </c>
      <c r="P125" s="4">
        <f t="shared" si="36"/>
        <v>-1.1514300000000004</v>
      </c>
      <c r="Q125" s="4">
        <f t="shared" si="37"/>
        <v>0</v>
      </c>
      <c r="R125" s="4">
        <f t="shared" si="38"/>
        <v>0</v>
      </c>
    </row>
    <row r="126" spans="1:18" s="61" customFormat="1" ht="28.5" customHeight="1">
      <c r="A126" s="57" t="s">
        <v>180</v>
      </c>
      <c r="B126" s="26" t="s">
        <v>167</v>
      </c>
      <c r="C126" s="35">
        <f t="shared" si="67"/>
        <v>6285.9</v>
      </c>
      <c r="D126" s="8">
        <f>D127+D129</f>
        <v>0</v>
      </c>
      <c r="E126" s="8">
        <f t="shared" ref="E126:J126" si="69">E127+E129</f>
        <v>6285.9</v>
      </c>
      <c r="F126" s="8">
        <f t="shared" si="69"/>
        <v>6285.9</v>
      </c>
      <c r="G126" s="8">
        <f>H126+I126</f>
        <v>6301.73945</v>
      </c>
      <c r="H126" s="8">
        <f t="shared" si="69"/>
        <v>0</v>
      </c>
      <c r="I126" s="8">
        <f t="shared" si="69"/>
        <v>6301.73945</v>
      </c>
      <c r="J126" s="8">
        <f t="shared" si="69"/>
        <v>6222.6394499999997</v>
      </c>
      <c r="K126" s="8">
        <f t="shared" si="50"/>
        <v>100.25198380502395</v>
      </c>
      <c r="L126" s="8"/>
      <c r="M126" s="8">
        <f t="shared" si="58"/>
        <v>100.25198380502395</v>
      </c>
      <c r="N126" s="8">
        <f t="shared" si="59"/>
        <v>98.993611893284978</v>
      </c>
      <c r="O126" s="8">
        <f t="shared" si="35"/>
        <v>15.839450000000397</v>
      </c>
      <c r="P126" s="8">
        <f t="shared" si="36"/>
        <v>0</v>
      </c>
      <c r="Q126" s="8">
        <f t="shared" si="37"/>
        <v>15.839450000000397</v>
      </c>
      <c r="R126" s="8">
        <f t="shared" si="38"/>
        <v>-63.260549999999967</v>
      </c>
    </row>
    <row r="127" spans="1:18" s="34" customFormat="1" ht="39" customHeight="1">
      <c r="A127" s="58" t="s">
        <v>181</v>
      </c>
      <c r="B127" s="51" t="s">
        <v>168</v>
      </c>
      <c r="C127" s="32">
        <f t="shared" si="67"/>
        <v>6285.9</v>
      </c>
      <c r="D127" s="32">
        <f>D129</f>
        <v>0</v>
      </c>
      <c r="E127" s="32">
        <f>E128</f>
        <v>6285.9</v>
      </c>
      <c r="F127" s="32">
        <f>F128</f>
        <v>6285.9</v>
      </c>
      <c r="G127" s="32">
        <f t="shared" ref="G127:H127" si="70">G129</f>
        <v>79.099999999999994</v>
      </c>
      <c r="H127" s="32">
        <f t="shared" si="70"/>
        <v>0</v>
      </c>
      <c r="I127" s="32">
        <f>I128</f>
        <v>6222.6394499999997</v>
      </c>
      <c r="J127" s="32">
        <f>J128</f>
        <v>6222.6394499999997</v>
      </c>
      <c r="K127" s="7">
        <f t="shared" si="50"/>
        <v>1.2583719117389713</v>
      </c>
      <c r="L127" s="7"/>
      <c r="M127" s="7">
        <f t="shared" si="58"/>
        <v>98.993611893284978</v>
      </c>
      <c r="N127" s="7">
        <f t="shared" si="59"/>
        <v>98.993611893284978</v>
      </c>
      <c r="O127" s="7">
        <f t="shared" si="35"/>
        <v>-6206.7999999999993</v>
      </c>
      <c r="P127" s="7">
        <f t="shared" si="36"/>
        <v>0</v>
      </c>
      <c r="Q127" s="7">
        <f t="shared" si="37"/>
        <v>-63.260549999999967</v>
      </c>
      <c r="R127" s="7">
        <f t="shared" si="38"/>
        <v>-63.260549999999967</v>
      </c>
    </row>
    <row r="128" spans="1:18" s="77" customFormat="1" ht="19.5" customHeight="1">
      <c r="A128" s="59" t="s">
        <v>182</v>
      </c>
      <c r="B128" s="54" t="s">
        <v>169</v>
      </c>
      <c r="C128" s="50">
        <f t="shared" si="67"/>
        <v>6285.9</v>
      </c>
      <c r="D128" s="50"/>
      <c r="E128" s="50">
        <v>6285.9</v>
      </c>
      <c r="F128" s="50">
        <v>6285.9</v>
      </c>
      <c r="G128" s="4">
        <f t="shared" si="55"/>
        <v>6222.6394499999997</v>
      </c>
      <c r="H128" s="50">
        <v>0</v>
      </c>
      <c r="I128" s="50">
        <v>6222.6394499999997</v>
      </c>
      <c r="J128" s="50">
        <v>6222.6394499999997</v>
      </c>
      <c r="K128" s="4">
        <f t="shared" si="50"/>
        <v>98.993611893284978</v>
      </c>
      <c r="L128" s="4"/>
      <c r="M128" s="4">
        <f t="shared" si="58"/>
        <v>98.993611893284978</v>
      </c>
      <c r="N128" s="4">
        <f t="shared" si="59"/>
        <v>98.993611893284978</v>
      </c>
      <c r="O128" s="4">
        <f t="shared" si="35"/>
        <v>-63.260549999999967</v>
      </c>
      <c r="P128" s="4">
        <f t="shared" si="36"/>
        <v>0</v>
      </c>
      <c r="Q128" s="4">
        <f t="shared" si="37"/>
        <v>-63.260549999999967</v>
      </c>
      <c r="R128" s="4">
        <f t="shared" si="38"/>
        <v>-63.260549999999967</v>
      </c>
    </row>
    <row r="129" spans="1:18">
      <c r="A129" s="58" t="s">
        <v>183</v>
      </c>
      <c r="B129" s="2" t="s">
        <v>170</v>
      </c>
      <c r="C129" s="32">
        <f t="shared" si="67"/>
        <v>0</v>
      </c>
      <c r="D129" s="7"/>
      <c r="E129" s="7"/>
      <c r="F129" s="7"/>
      <c r="G129" s="7">
        <f t="shared" si="55"/>
        <v>79.099999999999994</v>
      </c>
      <c r="H129" s="7">
        <v>0</v>
      </c>
      <c r="I129" s="7">
        <v>79.099999999999994</v>
      </c>
      <c r="J129" s="7"/>
      <c r="K129" s="7"/>
      <c r="L129" s="7"/>
      <c r="M129" s="7"/>
      <c r="N129" s="7"/>
      <c r="O129" s="7">
        <f t="shared" si="35"/>
        <v>79.099999999999994</v>
      </c>
      <c r="P129" s="7">
        <f t="shared" si="36"/>
        <v>0</v>
      </c>
      <c r="Q129" s="7">
        <f t="shared" si="37"/>
        <v>79.099999999999994</v>
      </c>
      <c r="R129" s="7">
        <f t="shared" si="38"/>
        <v>0</v>
      </c>
    </row>
    <row r="130" spans="1:18" s="61" customFormat="1" ht="16.5" customHeight="1">
      <c r="A130" s="57" t="s">
        <v>184</v>
      </c>
      <c r="B130" s="79" t="s">
        <v>171</v>
      </c>
      <c r="C130" s="35">
        <f t="shared" si="67"/>
        <v>511.2</v>
      </c>
      <c r="D130" s="35">
        <f>246.5+264.7</f>
        <v>511.2</v>
      </c>
      <c r="E130" s="35"/>
      <c r="F130" s="35"/>
      <c r="G130" s="8">
        <f t="shared" si="55"/>
        <v>818.24589000000003</v>
      </c>
      <c r="H130" s="35">
        <v>818.24589000000003</v>
      </c>
      <c r="I130" s="35"/>
      <c r="J130" s="35"/>
      <c r="K130" s="8">
        <f t="shared" si="50"/>
        <v>160.06375000000003</v>
      </c>
      <c r="L130" s="8">
        <f t="shared" si="57"/>
        <v>160.06375000000003</v>
      </c>
      <c r="M130" s="8"/>
      <c r="N130" s="8"/>
      <c r="O130" s="8">
        <f t="shared" si="35"/>
        <v>307.04589000000004</v>
      </c>
      <c r="P130" s="8">
        <f t="shared" si="36"/>
        <v>307.04589000000004</v>
      </c>
      <c r="Q130" s="8"/>
      <c r="R130" s="8"/>
    </row>
    <row r="131" spans="1:18" s="61" customFormat="1" ht="33.75" hidden="1" customHeight="1">
      <c r="A131" s="57" t="s">
        <v>185</v>
      </c>
      <c r="B131" s="79" t="s">
        <v>172</v>
      </c>
      <c r="C131" s="35">
        <f t="shared" si="67"/>
        <v>0</v>
      </c>
      <c r="D131" s="35"/>
      <c r="E131" s="35"/>
      <c r="F131" s="35"/>
      <c r="G131" s="8">
        <f t="shared" si="55"/>
        <v>0</v>
      </c>
      <c r="H131" s="35"/>
      <c r="I131" s="35"/>
      <c r="J131" s="35"/>
      <c r="K131" s="8" t="e">
        <f t="shared" si="50"/>
        <v>#DIV/0!</v>
      </c>
      <c r="L131" s="8" t="e">
        <f t="shared" si="57"/>
        <v>#DIV/0!</v>
      </c>
      <c r="M131" s="8"/>
      <c r="N131" s="8" t="e">
        <f t="shared" si="59"/>
        <v>#DIV/0!</v>
      </c>
      <c r="O131" s="8">
        <f t="shared" si="35"/>
        <v>0</v>
      </c>
      <c r="P131" s="8">
        <f t="shared" si="36"/>
        <v>0</v>
      </c>
      <c r="Q131" s="8"/>
      <c r="R131" s="8"/>
    </row>
    <row r="132" spans="1:18" s="61" customFormat="1" ht="18.75" customHeight="1">
      <c r="A132" s="57" t="s">
        <v>186</v>
      </c>
      <c r="B132" s="62" t="s">
        <v>11</v>
      </c>
      <c r="C132" s="35">
        <f t="shared" si="67"/>
        <v>0</v>
      </c>
      <c r="D132" s="35"/>
      <c r="E132" s="35"/>
      <c r="F132" s="35"/>
      <c r="G132" s="8">
        <f t="shared" si="55"/>
        <v>0</v>
      </c>
      <c r="H132" s="35">
        <v>0</v>
      </c>
      <c r="I132" s="35"/>
      <c r="J132" s="35"/>
      <c r="K132" s="8"/>
      <c r="L132" s="8"/>
      <c r="M132" s="8"/>
      <c r="N132" s="8"/>
      <c r="O132" s="8">
        <f t="shared" si="35"/>
        <v>0</v>
      </c>
      <c r="P132" s="8">
        <f t="shared" si="36"/>
        <v>0</v>
      </c>
      <c r="Q132" s="8"/>
      <c r="R132" s="8"/>
    </row>
    <row r="133" spans="1:18" s="61" customFormat="1" ht="18" customHeight="1">
      <c r="A133" s="57" t="s">
        <v>187</v>
      </c>
      <c r="B133" s="26" t="s">
        <v>173</v>
      </c>
      <c r="C133" s="35">
        <f t="shared" ref="C133:C138" si="71">D133+E133</f>
        <v>9519.2000000000007</v>
      </c>
      <c r="D133" s="35">
        <f>D134+D136+D137</f>
        <v>8519.2000000000007</v>
      </c>
      <c r="E133" s="35">
        <f>E134+E136+E137</f>
        <v>1000</v>
      </c>
      <c r="F133" s="35">
        <f>F134+F136+F137</f>
        <v>1000</v>
      </c>
      <c r="G133" s="35">
        <f t="shared" ref="G133:J133" si="72">G134+G136+G137</f>
        <v>17957.8</v>
      </c>
      <c r="H133" s="35">
        <f t="shared" si="72"/>
        <v>13975.8</v>
      </c>
      <c r="I133" s="35">
        <f t="shared" si="72"/>
        <v>3982</v>
      </c>
      <c r="J133" s="35">
        <f t="shared" si="72"/>
        <v>3982</v>
      </c>
      <c r="K133" s="8">
        <f t="shared" si="50"/>
        <v>188.64820573157405</v>
      </c>
      <c r="L133" s="8">
        <f t="shared" si="57"/>
        <v>164.05061508122827</v>
      </c>
      <c r="M133" s="8">
        <f t="shared" si="59"/>
        <v>398.20000000000005</v>
      </c>
      <c r="N133" s="8">
        <f t="shared" si="59"/>
        <v>398.20000000000005</v>
      </c>
      <c r="O133" s="8">
        <f t="shared" si="35"/>
        <v>8438.5999999999985</v>
      </c>
      <c r="P133" s="8">
        <f t="shared" si="36"/>
        <v>5456.5999999999985</v>
      </c>
      <c r="Q133" s="8">
        <f>I133-E133</f>
        <v>2982</v>
      </c>
      <c r="R133" s="8">
        <f t="shared" si="38"/>
        <v>2982</v>
      </c>
    </row>
    <row r="134" spans="1:18" s="61" customFormat="1" ht="21" customHeight="1">
      <c r="A134" s="57" t="s">
        <v>188</v>
      </c>
      <c r="B134" s="26" t="s">
        <v>174</v>
      </c>
      <c r="C134" s="35">
        <f t="shared" si="71"/>
        <v>8014.2</v>
      </c>
      <c r="D134" s="35">
        <f>D135</f>
        <v>8014.2</v>
      </c>
      <c r="E134" s="35"/>
      <c r="F134" s="35"/>
      <c r="G134" s="35">
        <f t="shared" ref="G134:H134" si="73">G135</f>
        <v>11571</v>
      </c>
      <c r="H134" s="35">
        <f t="shared" si="73"/>
        <v>11571</v>
      </c>
      <c r="I134" s="35"/>
      <c r="J134" s="35"/>
      <c r="K134" s="8">
        <f t="shared" si="50"/>
        <v>144.38122332859174</v>
      </c>
      <c r="L134" s="8">
        <f t="shared" si="57"/>
        <v>144.38122332859174</v>
      </c>
      <c r="M134" s="8"/>
      <c r="N134" s="8"/>
      <c r="O134" s="8">
        <f t="shared" si="35"/>
        <v>3556.8</v>
      </c>
      <c r="P134" s="8">
        <f t="shared" si="36"/>
        <v>3556.8</v>
      </c>
      <c r="Q134" s="8"/>
      <c r="R134" s="8"/>
    </row>
    <row r="135" spans="1:18" s="13" customFormat="1" ht="18.75" customHeight="1">
      <c r="A135" s="58" t="s">
        <v>189</v>
      </c>
      <c r="B135" s="80" t="s">
        <v>22</v>
      </c>
      <c r="C135" s="32">
        <f t="shared" si="71"/>
        <v>8014.2</v>
      </c>
      <c r="D135" s="32">
        <v>8014.2</v>
      </c>
      <c r="E135" s="32"/>
      <c r="F135" s="32"/>
      <c r="G135" s="7">
        <f t="shared" si="55"/>
        <v>11571</v>
      </c>
      <c r="H135" s="32">
        <v>11571</v>
      </c>
      <c r="I135" s="32"/>
      <c r="J135" s="32"/>
      <c r="K135" s="7">
        <f t="shared" si="50"/>
        <v>144.38122332859174</v>
      </c>
      <c r="L135" s="7">
        <f t="shared" si="57"/>
        <v>144.38122332859174</v>
      </c>
      <c r="M135" s="7"/>
      <c r="N135" s="7"/>
      <c r="O135" s="7">
        <f t="shared" si="35"/>
        <v>3556.8</v>
      </c>
      <c r="P135" s="7">
        <f t="shared" si="36"/>
        <v>3556.8</v>
      </c>
      <c r="Q135" s="7"/>
      <c r="R135" s="7"/>
    </row>
    <row r="136" spans="1:18" s="61" customFormat="1" ht="19.5" customHeight="1">
      <c r="A136" s="57" t="s">
        <v>190</v>
      </c>
      <c r="B136" s="63" t="s">
        <v>175</v>
      </c>
      <c r="C136" s="35">
        <f t="shared" si="71"/>
        <v>0</v>
      </c>
      <c r="D136" s="35"/>
      <c r="E136" s="35"/>
      <c r="F136" s="35"/>
      <c r="G136" s="8">
        <f t="shared" si="55"/>
        <v>328</v>
      </c>
      <c r="H136" s="35">
        <v>15</v>
      </c>
      <c r="I136" s="35">
        <v>313</v>
      </c>
      <c r="J136" s="35">
        <v>313</v>
      </c>
      <c r="K136" s="8"/>
      <c r="L136" s="8"/>
      <c r="M136" s="8"/>
      <c r="N136" s="8"/>
      <c r="O136" s="8">
        <f t="shared" si="35"/>
        <v>328</v>
      </c>
      <c r="P136" s="8">
        <f t="shared" si="36"/>
        <v>15</v>
      </c>
      <c r="Q136" s="8">
        <f t="shared" si="37"/>
        <v>313</v>
      </c>
      <c r="R136" s="8">
        <f t="shared" si="38"/>
        <v>313</v>
      </c>
    </row>
    <row r="137" spans="1:18" s="61" customFormat="1" ht="30.75" customHeight="1">
      <c r="A137" s="57" t="s">
        <v>191</v>
      </c>
      <c r="B137" s="26" t="s">
        <v>176</v>
      </c>
      <c r="C137" s="35">
        <f t="shared" si="71"/>
        <v>1505</v>
      </c>
      <c r="D137" s="35">
        <v>505</v>
      </c>
      <c r="E137" s="35">
        <v>1000</v>
      </c>
      <c r="F137" s="35">
        <v>1000</v>
      </c>
      <c r="G137" s="8">
        <f t="shared" si="55"/>
        <v>6058.8</v>
      </c>
      <c r="H137" s="35">
        <v>2389.8000000000002</v>
      </c>
      <c r="I137" s="35">
        <v>3669</v>
      </c>
      <c r="J137" s="35">
        <v>3669</v>
      </c>
      <c r="K137" s="8">
        <f t="shared" si="50"/>
        <v>402.57807308970098</v>
      </c>
      <c r="L137" s="8">
        <f t="shared" si="57"/>
        <v>473.22772277227727</v>
      </c>
      <c r="M137" s="8">
        <f t="shared" si="58"/>
        <v>366.9</v>
      </c>
      <c r="N137" s="8">
        <f t="shared" si="59"/>
        <v>366.9</v>
      </c>
      <c r="O137" s="8">
        <f t="shared" si="35"/>
        <v>4553.8</v>
      </c>
      <c r="P137" s="8">
        <f t="shared" si="36"/>
        <v>1884.8000000000002</v>
      </c>
      <c r="Q137" s="8">
        <f t="shared" si="37"/>
        <v>2669</v>
      </c>
      <c r="R137" s="8">
        <f t="shared" si="38"/>
        <v>2669</v>
      </c>
    </row>
    <row r="138" spans="1:18" s="61" customFormat="1" ht="18" customHeight="1">
      <c r="A138" s="81"/>
      <c r="B138" s="27" t="s">
        <v>3</v>
      </c>
      <c r="C138" s="8">
        <f t="shared" si="71"/>
        <v>172025.30000000005</v>
      </c>
      <c r="D138" s="8">
        <f>D10+D14+D19+D24+D74+D78+D88+D101+D120+D133</f>
        <v>151405.20000000004</v>
      </c>
      <c r="E138" s="8">
        <f t="shared" ref="E138:J138" si="74">E10+E14+E19+E24+E74+E78+E88+E101+E120+E133</f>
        <v>20620.099999999999</v>
      </c>
      <c r="F138" s="8">
        <f t="shared" si="74"/>
        <v>16721.400000000001</v>
      </c>
      <c r="G138" s="8">
        <f t="shared" si="74"/>
        <v>194986.62657000002</v>
      </c>
      <c r="H138" s="8">
        <f t="shared" si="74"/>
        <v>158716.50220000002</v>
      </c>
      <c r="I138" s="8">
        <f t="shared" si="74"/>
        <v>36270.124370000005</v>
      </c>
      <c r="J138" s="8">
        <f t="shared" si="74"/>
        <v>21258.797169999998</v>
      </c>
      <c r="K138" s="8">
        <f t="shared" ref="K138:N138" si="75">G138/C138*100</f>
        <v>113.34764512545536</v>
      </c>
      <c r="L138" s="8">
        <f t="shared" si="75"/>
        <v>104.82896373440276</v>
      </c>
      <c r="M138" s="8">
        <f t="shared" si="75"/>
        <v>175.89693730874248</v>
      </c>
      <c r="N138" s="20">
        <f t="shared" si="75"/>
        <v>127.13527079072324</v>
      </c>
      <c r="O138" s="8">
        <f t="shared" si="35"/>
        <v>22961.326569999976</v>
      </c>
      <c r="P138" s="8">
        <f t="shared" si="36"/>
        <v>7311.3021999999764</v>
      </c>
      <c r="Q138" s="8">
        <f t="shared" si="37"/>
        <v>15650.024370000006</v>
      </c>
      <c r="R138" s="8">
        <f t="shared" si="38"/>
        <v>4537.3971699999965</v>
      </c>
    </row>
    <row r="139" spans="1:18" s="78" customFormat="1" ht="14.25" customHeight="1">
      <c r="A139" s="83"/>
      <c r="B139" s="24" t="s">
        <v>12</v>
      </c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24"/>
      <c r="O139" s="4">
        <f t="shared" si="35"/>
        <v>0</v>
      </c>
      <c r="P139" s="4">
        <f t="shared" si="36"/>
        <v>0</v>
      </c>
      <c r="Q139" s="4">
        <f t="shared" si="37"/>
        <v>0</v>
      </c>
      <c r="R139" s="4">
        <f t="shared" si="38"/>
        <v>0</v>
      </c>
    </row>
    <row r="140" spans="1:18" s="78" customFormat="1" ht="15" customHeight="1">
      <c r="A140" s="83"/>
      <c r="B140" s="24" t="s">
        <v>16</v>
      </c>
      <c r="C140" s="4">
        <f>D140+E140</f>
        <v>45344.1</v>
      </c>
      <c r="D140" s="4">
        <f>D12+D16+D50+D57+D65+D76+D83+D87+D98+D124+6003.9</f>
        <v>45106.2</v>
      </c>
      <c r="E140" s="4">
        <f t="shared" ref="E140:J140" si="76">E12+E16+E50+E57+E65+E76+E83+E87+E124</f>
        <v>237.89999999999998</v>
      </c>
      <c r="F140" s="4">
        <f t="shared" si="76"/>
        <v>0</v>
      </c>
      <c r="G140" s="4">
        <f t="shared" si="76"/>
        <v>47033.397939999995</v>
      </c>
      <c r="H140" s="4">
        <f>H12+H16+H50+H57+H65+H76+H83+H87+H124+10261.4</f>
        <v>57184.762020000002</v>
      </c>
      <c r="I140" s="4">
        <f t="shared" si="76"/>
        <v>110.03592</v>
      </c>
      <c r="J140" s="4">
        <f t="shared" si="76"/>
        <v>0</v>
      </c>
      <c r="K140" s="4">
        <f t="shared" ref="K140:L142" si="77">G140/C140*100</f>
        <v>103.72550770662554</v>
      </c>
      <c r="L140" s="4">
        <f t="shared" si="77"/>
        <v>126.77805272889316</v>
      </c>
      <c r="M140" s="4">
        <f>I140/E140*100</f>
        <v>46.253013871374534</v>
      </c>
      <c r="N140" s="24"/>
      <c r="O140" s="4">
        <f t="shared" si="35"/>
        <v>1689.2979399999967</v>
      </c>
      <c r="P140" s="4">
        <f t="shared" si="36"/>
        <v>12078.562020000005</v>
      </c>
      <c r="Q140" s="4">
        <f t="shared" si="37"/>
        <v>-127.86407999999997</v>
      </c>
      <c r="R140" s="4">
        <f t="shared" si="38"/>
        <v>0</v>
      </c>
    </row>
    <row r="141" spans="1:18" s="78" customFormat="1" ht="15" customHeight="1">
      <c r="A141" s="83"/>
      <c r="B141" s="24" t="s">
        <v>15</v>
      </c>
      <c r="C141" s="4">
        <f>D141+E141</f>
        <v>2064.6999999999998</v>
      </c>
      <c r="D141" s="4">
        <f>D17+D58+D66</f>
        <v>970.5</v>
      </c>
      <c r="E141" s="4">
        <f t="shared" ref="E141:J141" si="78">E17+E58+E66</f>
        <v>1094.2</v>
      </c>
      <c r="F141" s="4">
        <f t="shared" si="78"/>
        <v>0</v>
      </c>
      <c r="G141" s="4">
        <f t="shared" si="78"/>
        <v>2894.8723099999997</v>
      </c>
      <c r="H141" s="4">
        <f t="shared" si="78"/>
        <v>1317.4382800000001</v>
      </c>
      <c r="I141" s="4">
        <f t="shared" si="78"/>
        <v>1577.4340299999999</v>
      </c>
      <c r="J141" s="4">
        <f t="shared" si="78"/>
        <v>0</v>
      </c>
      <c r="K141" s="4">
        <f t="shared" si="77"/>
        <v>140.20789025039957</v>
      </c>
      <c r="L141" s="4">
        <f t="shared" si="77"/>
        <v>135.74840597630089</v>
      </c>
      <c r="M141" s="4">
        <f>I141/E141*100</f>
        <v>144.16322701517089</v>
      </c>
      <c r="N141" s="24"/>
      <c r="O141" s="4">
        <f t="shared" ref="O141:O142" si="79">G141-C141</f>
        <v>830.17230999999992</v>
      </c>
      <c r="P141" s="4">
        <f t="shared" ref="P141:P142" si="80">H141-D141</f>
        <v>346.93828000000008</v>
      </c>
      <c r="Q141" s="4">
        <f t="shared" ref="Q141:Q142" si="81">I141-E141</f>
        <v>483.23402999999985</v>
      </c>
      <c r="R141" s="4">
        <f t="shared" ref="R141:R142" si="82">J141-F141</f>
        <v>0</v>
      </c>
    </row>
    <row r="142" spans="1:18" s="78" customFormat="1" ht="14.25" customHeight="1">
      <c r="A142" s="83"/>
      <c r="B142" s="24" t="s">
        <v>17</v>
      </c>
      <c r="C142" s="4">
        <f>D142+E142</f>
        <v>7553.4</v>
      </c>
      <c r="D142" s="4">
        <f>D13+D18+D51+D59+D77+D84+D99+D125+99.6+557.9</f>
        <v>7553.4</v>
      </c>
      <c r="E142" s="4">
        <f t="shared" ref="E142:I142" si="83">E13+E18+E51+E59+E77+E84+E99+E125</f>
        <v>0</v>
      </c>
      <c r="F142" s="4">
        <f t="shared" si="83"/>
        <v>0</v>
      </c>
      <c r="G142" s="4">
        <f t="shared" si="83"/>
        <v>8593.6900100000003</v>
      </c>
      <c r="H142" s="4">
        <f>H13+H18+H51+H59+H77+H84+H99+H125+481.9</f>
        <v>9075.5900099999999</v>
      </c>
      <c r="I142" s="4">
        <f t="shared" si="83"/>
        <v>0</v>
      </c>
      <c r="J142" s="4">
        <f>J13+J18+J51+J59+J77+J84+J99+J125</f>
        <v>0</v>
      </c>
      <c r="K142" s="4">
        <f t="shared" si="77"/>
        <v>113.77247345566236</v>
      </c>
      <c r="L142" s="4">
        <f t="shared" si="77"/>
        <v>120.15238184129002</v>
      </c>
      <c r="M142" s="10"/>
      <c r="N142" s="24"/>
      <c r="O142" s="4">
        <f t="shared" si="79"/>
        <v>1040.2900100000006</v>
      </c>
      <c r="P142" s="4">
        <f t="shared" si="80"/>
        <v>1522.1900100000003</v>
      </c>
      <c r="Q142" s="4">
        <f t="shared" si="81"/>
        <v>0</v>
      </c>
      <c r="R142" s="4">
        <f t="shared" si="82"/>
        <v>0</v>
      </c>
    </row>
    <row r="143" spans="1:18" ht="15" customHeight="1">
      <c r="A143" s="28"/>
      <c r="B143" s="29"/>
      <c r="C143" s="11"/>
      <c r="D143" s="9"/>
      <c r="E143" s="9"/>
      <c r="F143" s="9"/>
      <c r="G143" s="19"/>
      <c r="H143" s="9"/>
      <c r="I143" s="9"/>
      <c r="J143" s="9"/>
      <c r="K143" s="19"/>
      <c r="L143" s="19"/>
      <c r="M143" s="19"/>
      <c r="O143" s="19"/>
      <c r="P143" s="19"/>
      <c r="Q143" s="19"/>
    </row>
    <row r="144" spans="1:18">
      <c r="B144" s="14" t="s">
        <v>206</v>
      </c>
      <c r="C144" s="25"/>
      <c r="D144" s="73"/>
      <c r="K144" s="14" t="s">
        <v>207</v>
      </c>
    </row>
    <row r="145" spans="3:10">
      <c r="C145" s="25"/>
      <c r="D145" s="74"/>
      <c r="E145" s="74"/>
      <c r="H145" s="74"/>
    </row>
    <row r="146" spans="3:10">
      <c r="D146" s="74"/>
      <c r="E146" s="74"/>
      <c r="H146" s="74"/>
      <c r="I146" s="18"/>
      <c r="J146" s="18"/>
    </row>
    <row r="147" spans="3:10">
      <c r="D147" s="74"/>
      <c r="E147" s="74"/>
      <c r="H147" s="74"/>
    </row>
    <row r="148" spans="3:10">
      <c r="D148" s="74"/>
      <c r="E148" s="74"/>
      <c r="H148" s="74"/>
    </row>
    <row r="149" spans="3:10">
      <c r="D149" s="75"/>
      <c r="E149" s="74"/>
      <c r="H149" s="74"/>
    </row>
    <row r="163" spans="4:4">
      <c r="D163" s="14">
        <f>24636867.87+2227810.83</f>
        <v>26864678.700000003</v>
      </c>
    </row>
  </sheetData>
  <customSheetViews>
    <customSheetView guid="{67AF1382-F09A-4B6D-8319-2D8C2ACD1656}" scale="75" showPageBreaks="1" view="pageBreakPreview" showRuler="0">
      <pane ySplit="12" topLeftCell="A25" activePane="bottomLeft" state="frozen"/>
      <selection pane="bottomLeft" activeCell="G47" sqref="G47"/>
      <rowBreaks count="3" manualBreakCount="3">
        <brk id="20" max="10" man="1"/>
        <brk id="28" max="10" man="1"/>
        <brk id="67" max="16383" man="1"/>
      </rowBreaks>
      <pageMargins left="0.59055118110236227" right="0.28999999999999998" top="0.23" bottom="0.21" header="0.17" footer="0.15"/>
      <pageSetup paperSize="9" scale="61" fitToWidth="4" fitToHeight="4" orientation="landscape" r:id="rId1"/>
      <headerFooter alignWithMargins="0"/>
    </customSheetView>
    <customSheetView guid="{D6B9132F-3C93-42C3-A6E3-991AE92413FC}" scale="75" showPageBreaks="1" view="pageBreakPreview" showRuler="0">
      <pane ySplit="12" topLeftCell="A73" activePane="bottomLeft" state="frozen"/>
      <selection pane="bottomLeft" activeCell="E21" sqref="D21:E21"/>
      <rowBreaks count="2" manualBreakCount="2">
        <brk id="23" max="10" man="1"/>
        <brk id="43" max="16383" man="1"/>
      </rowBreaks>
      <pageMargins left="0.59055118110236227" right="0.28999999999999998" top="0.23" bottom="0.21" header="0.17" footer="0.15"/>
      <pageSetup paperSize="9" scale="61" fitToWidth="4" fitToHeight="4" orientation="landscape" r:id="rId2"/>
      <headerFooter alignWithMargins="0"/>
    </customSheetView>
    <customSheetView guid="{7CFD4F51-682B-4CC3-8469-6A464B2434ED}" scale="75" showPageBreaks="1" hiddenRows="1" view="pageBreakPreview" showRuler="0">
      <pane ySplit="12" topLeftCell="A79" activePane="bottomLeft" state="frozen"/>
      <selection pane="bottomLeft" activeCell="C20" sqref="C20:H20"/>
      <rowBreaks count="3" manualBreakCount="3">
        <brk id="23" max="10" man="1"/>
        <brk id="28" max="10" man="1"/>
        <brk id="66" max="16383" man="1"/>
      </rowBreaks>
      <pageMargins left="0.59055118110236227" right="0.28999999999999998" top="0.23" bottom="0.21" header="0.17" footer="0.15"/>
      <pageSetup paperSize="9" scale="61" fitToWidth="4" fitToHeight="4" orientation="landscape" r:id="rId3"/>
      <headerFooter alignWithMargins="0"/>
    </customSheetView>
    <customSheetView guid="{33D6E7AD-978F-40D3-BDFC-C8587B0DF878}" scale="75" showPageBreaks="1" hiddenRows="1" view="pageBreakPreview" showRuler="0">
      <pane ySplit="12" topLeftCell="A65" activePane="bottomLeft" state="frozen"/>
      <selection pane="bottomLeft" activeCell="B86" sqref="B86"/>
      <rowBreaks count="3" manualBreakCount="3">
        <brk id="23" max="10" man="1"/>
        <brk id="28" max="10" man="1"/>
        <brk id="67" max="16383" man="1"/>
      </rowBreaks>
      <pageMargins left="0.59055118110236227" right="0.28999999999999998" top="0.23" bottom="0.21" header="0.17" footer="0.15"/>
      <pageSetup paperSize="9" scale="61" fitToWidth="4" fitToHeight="4" orientation="landscape" r:id="rId4"/>
      <headerFooter alignWithMargins="0"/>
    </customSheetView>
  </customSheetViews>
  <mergeCells count="30">
    <mergeCell ref="M6:N6"/>
    <mergeCell ref="L5:N5"/>
    <mergeCell ref="A5:A8"/>
    <mergeCell ref="G5:G8"/>
    <mergeCell ref="B5:B8"/>
    <mergeCell ref="C5:C8"/>
    <mergeCell ref="H5:J5"/>
    <mergeCell ref="I6:J6"/>
    <mergeCell ref="I7:I8"/>
    <mergeCell ref="D6:D8"/>
    <mergeCell ref="E6:F6"/>
    <mergeCell ref="E7:E8"/>
    <mergeCell ref="D5:F5"/>
    <mergeCell ref="L6:L8"/>
    <mergeCell ref="H6:H8"/>
    <mergeCell ref="A2:R2"/>
    <mergeCell ref="K4:N4"/>
    <mergeCell ref="O1:R1"/>
    <mergeCell ref="O4:R4"/>
    <mergeCell ref="K1:N1"/>
    <mergeCell ref="A3:M3"/>
    <mergeCell ref="C4:F4"/>
    <mergeCell ref="G4:J4"/>
    <mergeCell ref="O5:O8"/>
    <mergeCell ref="P5:R5"/>
    <mergeCell ref="P6:P8"/>
    <mergeCell ref="Q6:R6"/>
    <mergeCell ref="Q7:Q8"/>
    <mergeCell ref="K5:K8"/>
    <mergeCell ref="M7:M8"/>
  </mergeCells>
  <phoneticPr fontId="0" type="noConversion"/>
  <pageMargins left="0.15748031496062992" right="0.15748031496062992" top="0.15748031496062992" bottom="0.11811023622047245" header="0.15748031496062992" footer="0.11811023622047245"/>
  <pageSetup paperSize="9" scale="55" fitToHeight="6" orientation="landscape" r:id="rId5"/>
  <headerFooter alignWithMargins="0"/>
  <rowBreaks count="1" manualBreakCount="1">
    <brk id="138" max="17" man="1"/>
  </rowBreaks>
  <ignoredErrors>
    <ignoredError sqref="G78" formula="1"/>
  </ignoredErrors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IGFO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Администратор</cp:lastModifiedBy>
  <cp:lastPrinted>2018-04-10T06:37:37Z</cp:lastPrinted>
  <dcterms:created xsi:type="dcterms:W3CDTF">2001-02-08T12:10:51Z</dcterms:created>
  <dcterms:modified xsi:type="dcterms:W3CDTF">2018-04-10T06:46:58Z</dcterms:modified>
</cp:coreProperties>
</file>