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4220" windowHeight="10365" firstSheet="3" activeTab="3"/>
  </bookViews>
  <sheets>
    <sheet name="початковий" sheetId="5" state="hidden" r:id="rId1"/>
    <sheet name="зміни лютий" sheetId="4" state="hidden" r:id="rId2"/>
    <sheet name="зі змінами 16.02.18" sheetId="6" state="hidden" r:id="rId3"/>
    <sheet name="зміни квітень" sheetId="8" r:id="rId4"/>
  </sheets>
  <externalReferences>
    <externalReference r:id="rId5"/>
  </externalReferences>
  <definedNames>
    <definedName name="_xlnm.Print_Titles" localSheetId="3">'зміни квітень'!$6:$10</definedName>
    <definedName name="_xlnm.Print_Titles" localSheetId="1">'зміни лютий'!$6:$10</definedName>
    <definedName name="_xlnm.Print_Area" localSheetId="3">'зміни квітень'!$B$1:$Q$148</definedName>
    <definedName name="_xlnm.Print_Area" localSheetId="1">'зміни лютий'!$B$1:$O$140</definedName>
  </definedNames>
  <calcPr calcId="125725"/>
</workbook>
</file>

<file path=xl/calcChain.xml><?xml version="1.0" encoding="utf-8"?>
<calcChain xmlns="http://schemas.openxmlformats.org/spreadsheetml/2006/main">
  <c r="F17" i="8"/>
  <c r="E17" s="1"/>
  <c r="E15"/>
  <c r="P13"/>
  <c r="O13"/>
  <c r="N13"/>
  <c r="O17"/>
  <c r="N17"/>
  <c r="F16"/>
  <c r="P15"/>
  <c r="O15"/>
  <c r="N15"/>
  <c r="P143" l="1"/>
  <c r="O143"/>
  <c r="N143"/>
  <c r="F143"/>
  <c r="E143"/>
  <c r="Q40"/>
  <c r="E41"/>
  <c r="Q41" s="1"/>
  <c r="E40"/>
  <c r="F30" l="1"/>
  <c r="E30"/>
  <c r="Q128"/>
  <c r="Q129"/>
  <c r="Q130"/>
  <c r="Q131"/>
  <c r="F127" l="1"/>
  <c r="F130"/>
  <c r="E130"/>
  <c r="E82"/>
  <c r="F85"/>
  <c r="P117"/>
  <c r="O117"/>
  <c r="N117"/>
  <c r="P114"/>
  <c r="O114"/>
  <c r="N114"/>
  <c r="F29"/>
  <c r="E12" l="1"/>
  <c r="F12"/>
  <c r="E13"/>
  <c r="F13"/>
  <c r="J22"/>
  <c r="J18"/>
  <c r="O22"/>
  <c r="N22"/>
  <c r="O18"/>
  <c r="N18"/>
  <c r="O120"/>
  <c r="N120"/>
  <c r="J135" l="1"/>
  <c r="P18"/>
  <c r="F102"/>
  <c r="F100"/>
  <c r="F99"/>
  <c r="F98"/>
  <c r="F97"/>
  <c r="F42"/>
  <c r="F73"/>
  <c r="F18"/>
  <c r="F19"/>
  <c r="F15"/>
  <c r="F11" s="1"/>
  <c r="F139"/>
  <c r="G139"/>
  <c r="H139"/>
  <c r="I139"/>
  <c r="K139"/>
  <c r="L139"/>
  <c r="M139"/>
  <c r="N139"/>
  <c r="O139"/>
  <c r="P139"/>
  <c r="E139"/>
  <c r="I111"/>
  <c r="F111"/>
  <c r="F108"/>
  <c r="G108"/>
  <c r="H108"/>
  <c r="I108"/>
  <c r="Q135"/>
  <c r="J114"/>
  <c r="Q114" s="1"/>
  <c r="J113"/>
  <c r="E113"/>
  <c r="O105"/>
  <c r="N105"/>
  <c r="J105" s="1"/>
  <c r="Q105" s="1"/>
  <c r="E18"/>
  <c r="J143"/>
  <c r="J139" s="1"/>
  <c r="I82"/>
  <c r="F82"/>
  <c r="E85"/>
  <c r="K109"/>
  <c r="K111"/>
  <c r="K115"/>
  <c r="K116"/>
  <c r="K124"/>
  <c r="K132"/>
  <c r="K136"/>
  <c r="E140"/>
  <c r="P136"/>
  <c r="O136"/>
  <c r="N136"/>
  <c r="M136"/>
  <c r="M127" s="1"/>
  <c r="L136"/>
  <c r="L127" s="1"/>
  <c r="E136"/>
  <c r="P133"/>
  <c r="P132" s="1"/>
  <c r="O133"/>
  <c r="O132" s="1"/>
  <c r="N133"/>
  <c r="N132" s="1"/>
  <c r="E128"/>
  <c r="E127" s="1"/>
  <c r="P124"/>
  <c r="P118" s="1"/>
  <c r="O124"/>
  <c r="O118" s="1"/>
  <c r="N124"/>
  <c r="M124"/>
  <c r="L124"/>
  <c r="E118"/>
  <c r="A117"/>
  <c r="P116"/>
  <c r="O116"/>
  <c r="N116"/>
  <c r="M116"/>
  <c r="L116"/>
  <c r="E116"/>
  <c r="E115" s="1"/>
  <c r="P115"/>
  <c r="O115"/>
  <c r="N115"/>
  <c r="M115"/>
  <c r="M108" s="1"/>
  <c r="L115"/>
  <c r="P111"/>
  <c r="O111"/>
  <c r="N111"/>
  <c r="M111"/>
  <c r="L111"/>
  <c r="E111"/>
  <c r="P109"/>
  <c r="O109"/>
  <c r="N109"/>
  <c r="M109"/>
  <c r="L109"/>
  <c r="L108" s="1"/>
  <c r="E109"/>
  <c r="J107"/>
  <c r="Q107" s="1"/>
  <c r="J106"/>
  <c r="Q106" s="1"/>
  <c r="A106"/>
  <c r="A105"/>
  <c r="J104"/>
  <c r="Q104" s="1"/>
  <c r="J103"/>
  <c r="Q103" s="1"/>
  <c r="Q102"/>
  <c r="J102"/>
  <c r="J101"/>
  <c r="Q101" s="1"/>
  <c r="J100"/>
  <c r="Q100" s="1"/>
  <c r="J99"/>
  <c r="Q99" s="1"/>
  <c r="P98"/>
  <c r="O98"/>
  <c r="O97" s="1"/>
  <c r="N98"/>
  <c r="J98" s="1"/>
  <c r="E98"/>
  <c r="E97" s="1"/>
  <c r="Q96"/>
  <c r="E95"/>
  <c r="Q95" s="1"/>
  <c r="J94"/>
  <c r="Q94" s="1"/>
  <c r="Q93" s="1"/>
  <c r="P93"/>
  <c r="P89" s="1"/>
  <c r="O93"/>
  <c r="O89" s="1"/>
  <c r="N93"/>
  <c r="N89" s="1"/>
  <c r="K93"/>
  <c r="K89" s="1"/>
  <c r="H93"/>
  <c r="H89" s="1"/>
  <c r="G93"/>
  <c r="G89" s="1"/>
  <c r="E93"/>
  <c r="Q92"/>
  <c r="Q91"/>
  <c r="E90"/>
  <c r="Q90" s="1"/>
  <c r="Q88"/>
  <c r="J87"/>
  <c r="Q87" s="1"/>
  <c r="P86"/>
  <c r="P82" s="1"/>
  <c r="O86"/>
  <c r="O82" s="1"/>
  <c r="N86"/>
  <c r="M86"/>
  <c r="L86"/>
  <c r="L82" s="1"/>
  <c r="K86"/>
  <c r="K82" s="1"/>
  <c r="H86"/>
  <c r="H82" s="1"/>
  <c r="G86"/>
  <c r="G82" s="1"/>
  <c r="J85"/>
  <c r="Q84"/>
  <c r="J84"/>
  <c r="J83"/>
  <c r="Q83" s="1"/>
  <c r="P80"/>
  <c r="O80"/>
  <c r="N80"/>
  <c r="M80"/>
  <c r="L80"/>
  <c r="K80"/>
  <c r="J80"/>
  <c r="H80"/>
  <c r="G80"/>
  <c r="E80"/>
  <c r="Q78"/>
  <c r="Q77"/>
  <c r="Q76" s="1"/>
  <c r="J76"/>
  <c r="E76"/>
  <c r="Q75"/>
  <c r="Q74"/>
  <c r="Q73"/>
  <c r="Q72"/>
  <c r="E71"/>
  <c r="Q71" s="1"/>
  <c r="Q70"/>
  <c r="Q69"/>
  <c r="H68"/>
  <c r="G68"/>
  <c r="E68"/>
  <c r="Q68" s="1"/>
  <c r="Q67"/>
  <c r="E66"/>
  <c r="Q66" s="1"/>
  <c r="J65"/>
  <c r="Q65" s="1"/>
  <c r="P64"/>
  <c r="O64"/>
  <c r="N64"/>
  <c r="M64"/>
  <c r="L64"/>
  <c r="K64"/>
  <c r="H64"/>
  <c r="G64"/>
  <c r="E64"/>
  <c r="Q63"/>
  <c r="Q62"/>
  <c r="Q61"/>
  <c r="E60"/>
  <c r="Q60" s="1"/>
  <c r="Q59"/>
  <c r="Q58"/>
  <c r="Q57"/>
  <c r="Q56"/>
  <c r="Q55"/>
  <c r="Q54"/>
  <c r="Q53"/>
  <c r="P52"/>
  <c r="O52"/>
  <c r="N52"/>
  <c r="M52"/>
  <c r="L52"/>
  <c r="K52"/>
  <c r="J52"/>
  <c r="H52"/>
  <c r="G52"/>
  <c r="E52"/>
  <c r="Q51"/>
  <c r="Q50"/>
  <c r="P49"/>
  <c r="O49"/>
  <c r="N49"/>
  <c r="M49"/>
  <c r="L49"/>
  <c r="K49"/>
  <c r="J49"/>
  <c r="H49"/>
  <c r="G49"/>
  <c r="E49"/>
  <c r="Q48"/>
  <c r="N48"/>
  <c r="N47" s="1"/>
  <c r="N46" s="1"/>
  <c r="N45" s="1"/>
  <c r="N44" s="1"/>
  <c r="N43" s="1"/>
  <c r="N42" s="1"/>
  <c r="Q47"/>
  <c r="P46"/>
  <c r="O46"/>
  <c r="M46"/>
  <c r="L46"/>
  <c r="K46"/>
  <c r="J46"/>
  <c r="J45" s="1"/>
  <c r="J44" s="1"/>
  <c r="H46"/>
  <c r="G46"/>
  <c r="E46"/>
  <c r="P43"/>
  <c r="O43"/>
  <c r="M43"/>
  <c r="L43"/>
  <c r="K43"/>
  <c r="K42" s="1"/>
  <c r="H43"/>
  <c r="G43"/>
  <c r="E43"/>
  <c r="J38"/>
  <c r="Q38" s="1"/>
  <c r="J37"/>
  <c r="Q37" s="1"/>
  <c r="J36"/>
  <c r="Q36" s="1"/>
  <c r="J35"/>
  <c r="Q35" s="1"/>
  <c r="J34"/>
  <c r="Q34" s="1"/>
  <c r="J33"/>
  <c r="Q33" s="1"/>
  <c r="J30"/>
  <c r="Q30" s="1"/>
  <c r="P29"/>
  <c r="O29"/>
  <c r="N29"/>
  <c r="M29"/>
  <c r="L29"/>
  <c r="K29"/>
  <c r="G29"/>
  <c r="E29"/>
  <c r="Q28"/>
  <c r="Q27"/>
  <c r="J26"/>
  <c r="Q26" s="1"/>
  <c r="J25"/>
  <c r="Q25" s="1"/>
  <c r="J24"/>
  <c r="Q24" s="1"/>
  <c r="J23"/>
  <c r="Q23" s="1"/>
  <c r="P22"/>
  <c r="O16"/>
  <c r="N16"/>
  <c r="M22"/>
  <c r="L22"/>
  <c r="K22"/>
  <c r="H22"/>
  <c r="G22"/>
  <c r="E22"/>
  <c r="Q21"/>
  <c r="Q20"/>
  <c r="J19"/>
  <c r="Q19" s="1"/>
  <c r="M18"/>
  <c r="L18"/>
  <c r="K18"/>
  <c r="H18"/>
  <c r="G18"/>
  <c r="J17"/>
  <c r="Q17" s="1"/>
  <c r="J15"/>
  <c r="E11"/>
  <c r="Q14"/>
  <c r="J13"/>
  <c r="Q13" s="1"/>
  <c r="J12"/>
  <c r="Q12" s="1"/>
  <c r="P11"/>
  <c r="O11"/>
  <c r="N11"/>
  <c r="K11"/>
  <c r="H11"/>
  <c r="G11"/>
  <c r="I144" l="1"/>
  <c r="F144"/>
  <c r="K108"/>
  <c r="E144"/>
  <c r="H144"/>
  <c r="P108"/>
  <c r="E108"/>
  <c r="O108"/>
  <c r="P97"/>
  <c r="M16"/>
  <c r="M144" s="1"/>
  <c r="J29"/>
  <c r="Q29" s="1"/>
  <c r="E42"/>
  <c r="Q80"/>
  <c r="H16"/>
  <c r="E16"/>
  <c r="J11"/>
  <c r="L16"/>
  <c r="L144" s="1"/>
  <c r="Q49"/>
  <c r="K16"/>
  <c r="J16" s="1"/>
  <c r="P16"/>
  <c r="Q52"/>
  <c r="O42"/>
  <c r="Q113"/>
  <c r="J64"/>
  <c r="N127"/>
  <c r="Q64"/>
  <c r="O127"/>
  <c r="G16"/>
  <c r="G144" s="1"/>
  <c r="Q98"/>
  <c r="J86"/>
  <c r="Q86" s="1"/>
  <c r="Q18"/>
  <c r="Q143"/>
  <c r="K127"/>
  <c r="Q15"/>
  <c r="L42"/>
  <c r="Q46"/>
  <c r="G42"/>
  <c r="P42"/>
  <c r="P127"/>
  <c r="H42"/>
  <c r="N97"/>
  <c r="J97" s="1"/>
  <c r="Q97" s="1"/>
  <c r="Q85"/>
  <c r="N82"/>
  <c r="J82" s="1"/>
  <c r="Q82" s="1"/>
  <c r="M42"/>
  <c r="J93"/>
  <c r="E89"/>
  <c r="J42"/>
  <c r="J89"/>
  <c r="Q44"/>
  <c r="J43"/>
  <c r="Q43" s="1"/>
  <c r="Q22"/>
  <c r="Q45"/>
  <c r="J31"/>
  <c r="Q31" s="1"/>
  <c r="N118"/>
  <c r="N108" s="1"/>
  <c r="N144" l="1"/>
  <c r="O144"/>
  <c r="K144"/>
  <c r="Q11"/>
  <c r="P144"/>
  <c r="Q42"/>
  <c r="Q89"/>
  <c r="Q16"/>
  <c r="S97"/>
  <c r="O152" i="6" l="1"/>
  <c r="N152"/>
  <c r="M152"/>
  <c r="L152"/>
  <c r="K152"/>
  <c r="J152"/>
  <c r="I152"/>
  <c r="H152"/>
  <c r="G152"/>
  <c r="F152"/>
  <c r="E152"/>
  <c r="N145"/>
  <c r="N141" s="1"/>
  <c r="M145"/>
  <c r="M141" s="1"/>
  <c r="L145"/>
  <c r="H145" s="1"/>
  <c r="O145" s="1"/>
  <c r="E145"/>
  <c r="H144"/>
  <c r="O144" s="1"/>
  <c r="H143"/>
  <c r="O143" s="1"/>
  <c r="O142"/>
  <c r="H142"/>
  <c r="H141" s="1"/>
  <c r="E142"/>
  <c r="E141" s="1"/>
  <c r="K141"/>
  <c r="J141"/>
  <c r="I141"/>
  <c r="G141"/>
  <c r="F141"/>
  <c r="H140"/>
  <c r="E140"/>
  <c r="O140" s="1"/>
  <c r="O139"/>
  <c r="H139"/>
  <c r="E139"/>
  <c r="N138"/>
  <c r="M138"/>
  <c r="L138"/>
  <c r="L131" s="1"/>
  <c r="K138"/>
  <c r="K131" s="1"/>
  <c r="J138"/>
  <c r="J131" s="1"/>
  <c r="I138"/>
  <c r="H138" s="1"/>
  <c r="E138"/>
  <c r="I137"/>
  <c r="I134" s="1"/>
  <c r="H134" s="1"/>
  <c r="O134" s="1"/>
  <c r="H137"/>
  <c r="O137" s="1"/>
  <c r="O136"/>
  <c r="H136"/>
  <c r="O135"/>
  <c r="N135"/>
  <c r="M135"/>
  <c r="L135"/>
  <c r="H135"/>
  <c r="N134"/>
  <c r="N131" s="1"/>
  <c r="M134"/>
  <c r="M131" s="1"/>
  <c r="L134"/>
  <c r="O133"/>
  <c r="E132"/>
  <c r="O132" s="1"/>
  <c r="O130"/>
  <c r="H130"/>
  <c r="H128" s="1"/>
  <c r="H122" s="1"/>
  <c r="H129"/>
  <c r="O129" s="1"/>
  <c r="N128"/>
  <c r="M128"/>
  <c r="L128"/>
  <c r="L122" s="1"/>
  <c r="K128"/>
  <c r="K122" s="1"/>
  <c r="J128"/>
  <c r="J122" s="1"/>
  <c r="I128"/>
  <c r="G128"/>
  <c r="F128"/>
  <c r="E128"/>
  <c r="O127"/>
  <c r="O126"/>
  <c r="O125"/>
  <c r="H124"/>
  <c r="O124" s="1"/>
  <c r="E123"/>
  <c r="O123" s="1"/>
  <c r="N122"/>
  <c r="M122"/>
  <c r="I122"/>
  <c r="G122"/>
  <c r="F122"/>
  <c r="E122"/>
  <c r="O122" s="1"/>
  <c r="N121"/>
  <c r="M121"/>
  <c r="L121"/>
  <c r="H121"/>
  <c r="E121"/>
  <c r="O121" s="1"/>
  <c r="A121"/>
  <c r="N120"/>
  <c r="M120"/>
  <c r="L120"/>
  <c r="K120"/>
  <c r="J120"/>
  <c r="I120"/>
  <c r="H120"/>
  <c r="E120"/>
  <c r="E119" s="1"/>
  <c r="O119" s="1"/>
  <c r="N119"/>
  <c r="M119"/>
  <c r="L119"/>
  <c r="K119"/>
  <c r="J119"/>
  <c r="I119"/>
  <c r="H119"/>
  <c r="N118"/>
  <c r="M118"/>
  <c r="L118"/>
  <c r="L115" s="1"/>
  <c r="H115" s="1"/>
  <c r="H118"/>
  <c r="O118" s="1"/>
  <c r="O117"/>
  <c r="N117"/>
  <c r="M117"/>
  <c r="L117"/>
  <c r="H117"/>
  <c r="E117"/>
  <c r="H116"/>
  <c r="O116" s="1"/>
  <c r="N115"/>
  <c r="M115"/>
  <c r="K115"/>
  <c r="J115"/>
  <c r="I115"/>
  <c r="I112" s="1"/>
  <c r="E115"/>
  <c r="E112" s="1"/>
  <c r="O114"/>
  <c r="N114"/>
  <c r="M114"/>
  <c r="L114"/>
  <c r="H114"/>
  <c r="N113"/>
  <c r="M113"/>
  <c r="M112" s="1"/>
  <c r="L113"/>
  <c r="K113"/>
  <c r="J113"/>
  <c r="I113"/>
  <c r="E113"/>
  <c r="N112"/>
  <c r="O111"/>
  <c r="H111"/>
  <c r="N110"/>
  <c r="M110"/>
  <c r="L110"/>
  <c r="H110"/>
  <c r="E110"/>
  <c r="O110" s="1"/>
  <c r="A110"/>
  <c r="O109"/>
  <c r="N109"/>
  <c r="M109"/>
  <c r="L109"/>
  <c r="H109"/>
  <c r="H108"/>
  <c r="O108" s="1"/>
  <c r="N107"/>
  <c r="M107"/>
  <c r="L107"/>
  <c r="H107" s="1"/>
  <c r="O107" s="1"/>
  <c r="N106"/>
  <c r="M106"/>
  <c r="L106"/>
  <c r="H106" s="1"/>
  <c r="O106" s="1"/>
  <c r="O105"/>
  <c r="H105"/>
  <c r="N104"/>
  <c r="N103" s="1"/>
  <c r="N102" s="1"/>
  <c r="M104"/>
  <c r="M103" s="1"/>
  <c r="M102" s="1"/>
  <c r="L104"/>
  <c r="L103" s="1"/>
  <c r="L102" s="1"/>
  <c r="H104"/>
  <c r="E104"/>
  <c r="O104" s="1"/>
  <c r="K103"/>
  <c r="J103"/>
  <c r="J102" s="1"/>
  <c r="I103"/>
  <c r="I102" s="1"/>
  <c r="G103"/>
  <c r="G102" s="1"/>
  <c r="F103"/>
  <c r="K102"/>
  <c r="F102"/>
  <c r="O101"/>
  <c r="O100"/>
  <c r="E100"/>
  <c r="H99"/>
  <c r="F99"/>
  <c r="E99"/>
  <c r="O99" s="1"/>
  <c r="O98" s="1"/>
  <c r="N98"/>
  <c r="N94" s="1"/>
  <c r="M98"/>
  <c r="L98"/>
  <c r="H98" s="1"/>
  <c r="I98"/>
  <c r="G98"/>
  <c r="F98"/>
  <c r="F94" s="1"/>
  <c r="E98"/>
  <c r="E94" s="1"/>
  <c r="O97"/>
  <c r="O96"/>
  <c r="O95"/>
  <c r="E95"/>
  <c r="M94"/>
  <c r="L94"/>
  <c r="H94" s="1"/>
  <c r="I94"/>
  <c r="G94"/>
  <c r="F93"/>
  <c r="F91" s="1"/>
  <c r="E93"/>
  <c r="O93" s="1"/>
  <c r="O92"/>
  <c r="H92"/>
  <c r="H91" s="1"/>
  <c r="F92"/>
  <c r="N91"/>
  <c r="M91"/>
  <c r="L91"/>
  <c r="K91"/>
  <c r="J91"/>
  <c r="I91"/>
  <c r="G91"/>
  <c r="N90"/>
  <c r="M90"/>
  <c r="L90"/>
  <c r="H90" s="1"/>
  <c r="O90" s="1"/>
  <c r="F90"/>
  <c r="E90"/>
  <c r="N89"/>
  <c r="N87" s="1"/>
  <c r="M89"/>
  <c r="L89"/>
  <c r="H89" s="1"/>
  <c r="F89"/>
  <c r="E89"/>
  <c r="O89" s="1"/>
  <c r="N88"/>
  <c r="M88"/>
  <c r="M87" s="1"/>
  <c r="L88"/>
  <c r="H88" s="1"/>
  <c r="F88"/>
  <c r="E88"/>
  <c r="K87"/>
  <c r="J87"/>
  <c r="I87"/>
  <c r="G87"/>
  <c r="E86"/>
  <c r="O85"/>
  <c r="N85"/>
  <c r="M85"/>
  <c r="L85"/>
  <c r="K85"/>
  <c r="J85"/>
  <c r="I85"/>
  <c r="H85"/>
  <c r="G85"/>
  <c r="F85"/>
  <c r="E85"/>
  <c r="O83"/>
  <c r="O82"/>
  <c r="O81" s="1"/>
  <c r="E82"/>
  <c r="H81"/>
  <c r="E81"/>
  <c r="O80"/>
  <c r="O79"/>
  <c r="E78"/>
  <c r="O78" s="1"/>
  <c r="O77"/>
  <c r="E76"/>
  <c r="O76" s="1"/>
  <c r="O75"/>
  <c r="O74"/>
  <c r="F74"/>
  <c r="F73" s="1"/>
  <c r="F47" s="1"/>
  <c r="E74"/>
  <c r="G73"/>
  <c r="E73"/>
  <c r="O73" s="1"/>
  <c r="O72"/>
  <c r="E72"/>
  <c r="E71" s="1"/>
  <c r="H70"/>
  <c r="F70"/>
  <c r="E70"/>
  <c r="O70" s="1"/>
  <c r="O69"/>
  <c r="N69"/>
  <c r="M69"/>
  <c r="L69"/>
  <c r="K69"/>
  <c r="J69"/>
  <c r="I69"/>
  <c r="H69"/>
  <c r="G69"/>
  <c r="F69"/>
  <c r="E69"/>
  <c r="O68"/>
  <c r="O67"/>
  <c r="O66"/>
  <c r="E65"/>
  <c r="O65" s="1"/>
  <c r="O64"/>
  <c r="O63"/>
  <c r="O62"/>
  <c r="O61"/>
  <c r="O60"/>
  <c r="E60"/>
  <c r="O59"/>
  <c r="O58"/>
  <c r="O57"/>
  <c r="N57"/>
  <c r="M57"/>
  <c r="L57"/>
  <c r="K57"/>
  <c r="J57"/>
  <c r="I57"/>
  <c r="H57"/>
  <c r="G57"/>
  <c r="F57"/>
  <c r="E57"/>
  <c r="O56"/>
  <c r="O55"/>
  <c r="N54"/>
  <c r="M54"/>
  <c r="L54"/>
  <c r="L53" s="1"/>
  <c r="L52" s="1"/>
  <c r="L51" s="1"/>
  <c r="L50" s="1"/>
  <c r="L49" s="1"/>
  <c r="L48" s="1"/>
  <c r="L47" s="1"/>
  <c r="H47" s="1"/>
  <c r="K54"/>
  <c r="J54"/>
  <c r="I54"/>
  <c r="H54"/>
  <c r="G54"/>
  <c r="F54"/>
  <c r="E54"/>
  <c r="O54" s="1"/>
  <c r="O53"/>
  <c r="O52"/>
  <c r="N51"/>
  <c r="M51"/>
  <c r="K51"/>
  <c r="J51"/>
  <c r="I51"/>
  <c r="I47" s="1"/>
  <c r="H51"/>
  <c r="G51"/>
  <c r="F51"/>
  <c r="E51"/>
  <c r="O51" s="1"/>
  <c r="H50"/>
  <c r="O50" s="1"/>
  <c r="N48"/>
  <c r="M48"/>
  <c r="K48"/>
  <c r="K47" s="1"/>
  <c r="J48"/>
  <c r="J47" s="1"/>
  <c r="I48"/>
  <c r="G48"/>
  <c r="F48"/>
  <c r="E48"/>
  <c r="N47"/>
  <c r="M47"/>
  <c r="G47"/>
  <c r="O46"/>
  <c r="O45"/>
  <c r="E44"/>
  <c r="O44" s="1"/>
  <c r="H43"/>
  <c r="O43" s="1"/>
  <c r="O42"/>
  <c r="H42"/>
  <c r="H39" s="1"/>
  <c r="H41"/>
  <c r="O41" s="1"/>
  <c r="E41"/>
  <c r="E39"/>
  <c r="O39" s="1"/>
  <c r="O38"/>
  <c r="H38"/>
  <c r="N37"/>
  <c r="M37"/>
  <c r="L37"/>
  <c r="H37"/>
  <c r="E37"/>
  <c r="O37" s="1"/>
  <c r="N36"/>
  <c r="M36"/>
  <c r="L36"/>
  <c r="K36"/>
  <c r="J36"/>
  <c r="I36"/>
  <c r="H36"/>
  <c r="O35"/>
  <c r="H35"/>
  <c r="H34"/>
  <c r="E34"/>
  <c r="O34" s="1"/>
  <c r="N33"/>
  <c r="M33"/>
  <c r="L33"/>
  <c r="K33"/>
  <c r="J33"/>
  <c r="I33"/>
  <c r="H33"/>
  <c r="G33"/>
  <c r="F33"/>
  <c r="E33"/>
  <c r="O33" s="1"/>
  <c r="O32"/>
  <c r="F32"/>
  <c r="E32"/>
  <c r="O31"/>
  <c r="N30"/>
  <c r="M30"/>
  <c r="L30"/>
  <c r="I30"/>
  <c r="H30" s="1"/>
  <c r="O30" s="1"/>
  <c r="F30"/>
  <c r="L29"/>
  <c r="H29"/>
  <c r="F29"/>
  <c r="E29"/>
  <c r="E17" s="1"/>
  <c r="O28"/>
  <c r="H28"/>
  <c r="E27"/>
  <c r="O27" s="1"/>
  <c r="N25"/>
  <c r="M25"/>
  <c r="L25"/>
  <c r="H25" s="1"/>
  <c r="F25"/>
  <c r="E25"/>
  <c r="O25" s="1"/>
  <c r="E24"/>
  <c r="O24" s="1"/>
  <c r="O23"/>
  <c r="F23"/>
  <c r="O22"/>
  <c r="H22"/>
  <c r="F21"/>
  <c r="E21"/>
  <c r="O21" s="1"/>
  <c r="N19"/>
  <c r="M19"/>
  <c r="L19"/>
  <c r="H19" s="1"/>
  <c r="F19"/>
  <c r="E19"/>
  <c r="N18"/>
  <c r="N17" s="1"/>
  <c r="M18"/>
  <c r="M17" s="1"/>
  <c r="L18"/>
  <c r="H18" s="1"/>
  <c r="H17" s="1"/>
  <c r="F18"/>
  <c r="F17" s="1"/>
  <c r="E18"/>
  <c r="K17"/>
  <c r="J17"/>
  <c r="I17"/>
  <c r="G17"/>
  <c r="N16"/>
  <c r="N12" s="1"/>
  <c r="M16"/>
  <c r="M12" s="1"/>
  <c r="M146" s="1"/>
  <c r="M154" s="1"/>
  <c r="L16"/>
  <c r="H16" s="1"/>
  <c r="O16" s="1"/>
  <c r="E16"/>
  <c r="O15"/>
  <c r="L14"/>
  <c r="H14"/>
  <c r="G14"/>
  <c r="F14"/>
  <c r="F12" s="1"/>
  <c r="E14"/>
  <c r="O14" s="1"/>
  <c r="N13"/>
  <c r="M13"/>
  <c r="L13"/>
  <c r="I13"/>
  <c r="I12" s="1"/>
  <c r="G13"/>
  <c r="G12" s="1"/>
  <c r="F13"/>
  <c r="E13"/>
  <c r="E12" s="1"/>
  <c r="L12"/>
  <c r="O12" l="1"/>
  <c r="O71"/>
  <c r="E47"/>
  <c r="O47" s="1"/>
  <c r="O17"/>
  <c r="O113"/>
  <c r="L112"/>
  <c r="O112"/>
  <c r="N146"/>
  <c r="N154" s="1"/>
  <c r="K112"/>
  <c r="O94"/>
  <c r="H12"/>
  <c r="O18"/>
  <c r="O141"/>
  <c r="K146"/>
  <c r="K154" s="1"/>
  <c r="H87"/>
  <c r="J112"/>
  <c r="J146" s="1"/>
  <c r="J154" s="1"/>
  <c r="O138"/>
  <c r="F87"/>
  <c r="F146" s="1"/>
  <c r="F154" s="1"/>
  <c r="Q102"/>
  <c r="G146"/>
  <c r="G154" s="1"/>
  <c r="O19"/>
  <c r="O88"/>
  <c r="H103"/>
  <c r="H102" s="1"/>
  <c r="H112"/>
  <c r="O128"/>
  <c r="E131"/>
  <c r="E36"/>
  <c r="O36" s="1"/>
  <c r="O120"/>
  <c r="O13"/>
  <c r="H49"/>
  <c r="E103"/>
  <c r="O29"/>
  <c r="H113"/>
  <c r="O115"/>
  <c r="E91"/>
  <c r="I131"/>
  <c r="H131" s="1"/>
  <c r="O131" s="1"/>
  <c r="L141"/>
  <c r="L146" s="1"/>
  <c r="L154" s="1"/>
  <c r="H13"/>
  <c r="L17"/>
  <c r="L87"/>
  <c r="E87" l="1"/>
  <c r="O87" s="1"/>
  <c r="O91"/>
  <c r="Q146"/>
  <c r="I146"/>
  <c r="E146"/>
  <c r="O49"/>
  <c r="H48"/>
  <c r="O48" s="1"/>
  <c r="O103"/>
  <c r="E102"/>
  <c r="O102" s="1"/>
  <c r="I154" l="1"/>
  <c r="H146"/>
  <c r="H154" s="1"/>
  <c r="O146"/>
  <c r="O154" s="1"/>
  <c r="E154"/>
  <c r="N15" i="4" l="1"/>
  <c r="M15"/>
  <c r="L15"/>
  <c r="N98"/>
  <c r="M98"/>
  <c r="L98"/>
  <c r="E15" l="1"/>
  <c r="E13"/>
  <c r="H137"/>
  <c r="N138"/>
  <c r="M138"/>
  <c r="L138"/>
  <c r="E138"/>
  <c r="N111" l="1"/>
  <c r="M111"/>
  <c r="L111"/>
  <c r="L26" l="1"/>
  <c r="N101" l="1"/>
  <c r="M101"/>
  <c r="L101"/>
  <c r="N96"/>
  <c r="M96"/>
  <c r="L96"/>
  <c r="E95"/>
  <c r="E94" s="1"/>
  <c r="L95"/>
  <c r="L94" s="1"/>
  <c r="O137"/>
  <c r="E30"/>
  <c r="E16"/>
  <c r="E27"/>
  <c r="O27" s="1"/>
  <c r="O28"/>
  <c r="E25"/>
  <c r="N22"/>
  <c r="M22"/>
  <c r="L22"/>
  <c r="N18"/>
  <c r="M18"/>
  <c r="L18"/>
  <c r="E18"/>
  <c r="E17"/>
  <c r="J16"/>
  <c r="K16"/>
  <c r="I16"/>
  <c r="F16"/>
  <c r="G16"/>
  <c r="N16" l="1"/>
  <c r="M16"/>
  <c r="L16"/>
  <c r="I121"/>
  <c r="J121"/>
  <c r="K121"/>
  <c r="L121"/>
  <c r="M121"/>
  <c r="N121"/>
  <c r="H122"/>
  <c r="O122" s="1"/>
  <c r="H24"/>
  <c r="E33" l="1"/>
  <c r="N30"/>
  <c r="M30"/>
  <c r="L30"/>
  <c r="H19"/>
  <c r="O23"/>
  <c r="O24"/>
  <c r="F29" l="1"/>
  <c r="N81" l="1"/>
  <c r="K142" i="5"/>
  <c r="J142"/>
  <c r="H134"/>
  <c r="O134" s="1"/>
  <c r="H133"/>
  <c r="E133"/>
  <c r="E132" s="1"/>
  <c r="O132" s="1"/>
  <c r="L132"/>
  <c r="I132"/>
  <c r="H132" s="1"/>
  <c r="H131"/>
  <c r="E131"/>
  <c r="O131" s="1"/>
  <c r="O130"/>
  <c r="H130"/>
  <c r="E130"/>
  <c r="E129" s="1"/>
  <c r="N129"/>
  <c r="M129"/>
  <c r="M122" s="1"/>
  <c r="L129"/>
  <c r="H129" s="1"/>
  <c r="K129"/>
  <c r="K122" s="1"/>
  <c r="J129"/>
  <c r="J122" s="1"/>
  <c r="I129"/>
  <c r="I128"/>
  <c r="H128"/>
  <c r="O128" s="1"/>
  <c r="O127"/>
  <c r="H127"/>
  <c r="N126"/>
  <c r="M126"/>
  <c r="L126"/>
  <c r="L125" s="1"/>
  <c r="H126"/>
  <c r="O126" s="1"/>
  <c r="N125"/>
  <c r="N122" s="1"/>
  <c r="M125"/>
  <c r="I125"/>
  <c r="H125" s="1"/>
  <c r="O125" s="1"/>
  <c r="O124"/>
  <c r="E123"/>
  <c r="O123" s="1"/>
  <c r="I122"/>
  <c r="O121"/>
  <c r="H121"/>
  <c r="L120"/>
  <c r="I120"/>
  <c r="H120"/>
  <c r="O120" s="1"/>
  <c r="O119"/>
  <c r="O118"/>
  <c r="O117"/>
  <c r="H116"/>
  <c r="O116" s="1"/>
  <c r="E115"/>
  <c r="O115" s="1"/>
  <c r="N114"/>
  <c r="M114"/>
  <c r="L114"/>
  <c r="H114" s="1"/>
  <c r="E114"/>
  <c r="H113"/>
  <c r="O113" s="1"/>
  <c r="A113"/>
  <c r="N112"/>
  <c r="M112"/>
  <c r="L112"/>
  <c r="K112"/>
  <c r="J112"/>
  <c r="I112"/>
  <c r="H112"/>
  <c r="E112"/>
  <c r="O112" s="1"/>
  <c r="O111"/>
  <c r="N111"/>
  <c r="N104" s="1"/>
  <c r="M111"/>
  <c r="L111"/>
  <c r="K111"/>
  <c r="J111"/>
  <c r="I111"/>
  <c r="H111"/>
  <c r="E111"/>
  <c r="E104" s="1"/>
  <c r="O110"/>
  <c r="N110"/>
  <c r="M110"/>
  <c r="M107" s="1"/>
  <c r="M104" s="1"/>
  <c r="L110"/>
  <c r="H110"/>
  <c r="H109"/>
  <c r="O109" s="1"/>
  <c r="O108"/>
  <c r="H108"/>
  <c r="N107"/>
  <c r="L107"/>
  <c r="K107"/>
  <c r="J107"/>
  <c r="J104" s="1"/>
  <c r="I107"/>
  <c r="H107" s="1"/>
  <c r="E107"/>
  <c r="O106"/>
  <c r="H106"/>
  <c r="N105"/>
  <c r="M105"/>
  <c r="L105"/>
  <c r="L104" s="1"/>
  <c r="K105"/>
  <c r="K104" s="1"/>
  <c r="J105"/>
  <c r="I105"/>
  <c r="H105" s="1"/>
  <c r="E105"/>
  <c r="O105" s="1"/>
  <c r="H103"/>
  <c r="O103" s="1"/>
  <c r="O102"/>
  <c r="N102"/>
  <c r="M102"/>
  <c r="L102"/>
  <c r="H102"/>
  <c r="E102"/>
  <c r="A102"/>
  <c r="O101"/>
  <c r="H101"/>
  <c r="H100"/>
  <c r="O100" s="1"/>
  <c r="H99"/>
  <c r="O99" s="1"/>
  <c r="N98"/>
  <c r="N97" s="1"/>
  <c r="N96" s="1"/>
  <c r="M98"/>
  <c r="M97" s="1"/>
  <c r="M96" s="1"/>
  <c r="L98"/>
  <c r="H98" s="1"/>
  <c r="E98"/>
  <c r="O98" s="1"/>
  <c r="E97"/>
  <c r="E96"/>
  <c r="O95"/>
  <c r="E94"/>
  <c r="O94" s="1"/>
  <c r="H93"/>
  <c r="O93" s="1"/>
  <c r="O92" s="1"/>
  <c r="F93"/>
  <c r="N92"/>
  <c r="N88" s="1"/>
  <c r="M92"/>
  <c r="M88" s="1"/>
  <c r="L92"/>
  <c r="I92"/>
  <c r="H92" s="1"/>
  <c r="G92"/>
  <c r="G88" s="1"/>
  <c r="F92"/>
  <c r="E92"/>
  <c r="O91"/>
  <c r="O90"/>
  <c r="E89"/>
  <c r="E88" s="1"/>
  <c r="O88" s="1"/>
  <c r="L88"/>
  <c r="I88"/>
  <c r="H88" s="1"/>
  <c r="F88"/>
  <c r="O87"/>
  <c r="F87"/>
  <c r="H86"/>
  <c r="O86" s="1"/>
  <c r="F86"/>
  <c r="L85"/>
  <c r="H85" s="1"/>
  <c r="O85" s="1"/>
  <c r="F85"/>
  <c r="L84"/>
  <c r="H84"/>
  <c r="O84" s="1"/>
  <c r="F84"/>
  <c r="H83"/>
  <c r="O83" s="1"/>
  <c r="F83"/>
  <c r="L82"/>
  <c r="L81" s="1"/>
  <c r="H81" s="1"/>
  <c r="O81" s="1"/>
  <c r="H82"/>
  <c r="O82" s="1"/>
  <c r="F82"/>
  <c r="F81" s="1"/>
  <c r="N81"/>
  <c r="M81"/>
  <c r="J81"/>
  <c r="I81"/>
  <c r="G81"/>
  <c r="E81"/>
  <c r="E80"/>
  <c r="E79" s="1"/>
  <c r="O79" s="1"/>
  <c r="N79"/>
  <c r="M79"/>
  <c r="L79"/>
  <c r="K79"/>
  <c r="K41" s="1"/>
  <c r="J79"/>
  <c r="I79"/>
  <c r="H79"/>
  <c r="G79"/>
  <c r="F79"/>
  <c r="O77"/>
  <c r="O76"/>
  <c r="O75" s="1"/>
  <c r="E76"/>
  <c r="E75" s="1"/>
  <c r="H75"/>
  <c r="O74"/>
  <c r="O73"/>
  <c r="E72"/>
  <c r="O72" s="1"/>
  <c r="O71"/>
  <c r="E70"/>
  <c r="O70" s="1"/>
  <c r="O69"/>
  <c r="F68"/>
  <c r="F67" s="1"/>
  <c r="E68"/>
  <c r="O68" s="1"/>
  <c r="G67"/>
  <c r="E66"/>
  <c r="O66" s="1"/>
  <c r="E65"/>
  <c r="O65" s="1"/>
  <c r="O64"/>
  <c r="H64"/>
  <c r="H63" s="1"/>
  <c r="O63" s="1"/>
  <c r="F64"/>
  <c r="N63"/>
  <c r="M63"/>
  <c r="L63"/>
  <c r="K63"/>
  <c r="J63"/>
  <c r="I63"/>
  <c r="G63"/>
  <c r="F63"/>
  <c r="E63"/>
  <c r="O62"/>
  <c r="O61"/>
  <c r="O60"/>
  <c r="O59"/>
  <c r="E59"/>
  <c r="O58"/>
  <c r="O57"/>
  <c r="O56"/>
  <c r="O55"/>
  <c r="E54"/>
  <c r="E51" s="1"/>
  <c r="O53"/>
  <c r="O52"/>
  <c r="N51"/>
  <c r="M51"/>
  <c r="L51"/>
  <c r="K51"/>
  <c r="J51"/>
  <c r="I51"/>
  <c r="H51"/>
  <c r="G51"/>
  <c r="F51"/>
  <c r="O50"/>
  <c r="O49"/>
  <c r="O48"/>
  <c r="N48"/>
  <c r="M48"/>
  <c r="L48"/>
  <c r="L47" s="1"/>
  <c r="L46" s="1"/>
  <c r="L45" s="1"/>
  <c r="L44" s="1"/>
  <c r="L43" s="1"/>
  <c r="L42" s="1"/>
  <c r="L41" s="1"/>
  <c r="H41" s="1"/>
  <c r="K48"/>
  <c r="J48"/>
  <c r="I48"/>
  <c r="H48"/>
  <c r="G48"/>
  <c r="F48"/>
  <c r="E48"/>
  <c r="O47"/>
  <c r="O46"/>
  <c r="N45"/>
  <c r="M45"/>
  <c r="M41" s="1"/>
  <c r="K45"/>
  <c r="J45"/>
  <c r="I45"/>
  <c r="H45"/>
  <c r="H44" s="1"/>
  <c r="G45"/>
  <c r="F45"/>
  <c r="E45"/>
  <c r="N42"/>
  <c r="N41" s="1"/>
  <c r="M42"/>
  <c r="K42"/>
  <c r="J42"/>
  <c r="I42"/>
  <c r="G42"/>
  <c r="G41" s="1"/>
  <c r="F42"/>
  <c r="F41" s="1"/>
  <c r="E42"/>
  <c r="J41"/>
  <c r="I41"/>
  <c r="O40"/>
  <c r="O39"/>
  <c r="O38"/>
  <c r="E38"/>
  <c r="H37"/>
  <c r="O37" s="1"/>
  <c r="N36"/>
  <c r="N35" s="1"/>
  <c r="M36"/>
  <c r="M35" s="1"/>
  <c r="L36"/>
  <c r="L35" s="1"/>
  <c r="H35" s="1"/>
  <c r="H36"/>
  <c r="O36" s="1"/>
  <c r="K35"/>
  <c r="J35"/>
  <c r="I35"/>
  <c r="E35"/>
  <c r="O35" s="1"/>
  <c r="H34"/>
  <c r="O34" s="1"/>
  <c r="H33"/>
  <c r="O33" s="1"/>
  <c r="H32"/>
  <c r="O32" s="1"/>
  <c r="G32"/>
  <c r="G20" s="1"/>
  <c r="F32"/>
  <c r="E32"/>
  <c r="F31"/>
  <c r="E31"/>
  <c r="O31" s="1"/>
  <c r="O30"/>
  <c r="H29"/>
  <c r="O29" s="1"/>
  <c r="F29"/>
  <c r="L28"/>
  <c r="H28" s="1"/>
  <c r="O28" s="1"/>
  <c r="F28"/>
  <c r="E27"/>
  <c r="O27" s="1"/>
  <c r="O26"/>
  <c r="H26"/>
  <c r="F26"/>
  <c r="O25"/>
  <c r="E25"/>
  <c r="O24"/>
  <c r="F24"/>
  <c r="F23"/>
  <c r="E23"/>
  <c r="O23" s="1"/>
  <c r="N22"/>
  <c r="M22"/>
  <c r="L22"/>
  <c r="H22"/>
  <c r="O22" s="1"/>
  <c r="F22"/>
  <c r="N21"/>
  <c r="N20" s="1"/>
  <c r="M21"/>
  <c r="L21"/>
  <c r="H21" s="1"/>
  <c r="O21" s="1"/>
  <c r="F21"/>
  <c r="M20"/>
  <c r="L20"/>
  <c r="K20"/>
  <c r="J20"/>
  <c r="I20"/>
  <c r="H20" s="1"/>
  <c r="F20"/>
  <c r="E20"/>
  <c r="N19"/>
  <c r="M19"/>
  <c r="L19"/>
  <c r="H19" s="1"/>
  <c r="O19" s="1"/>
  <c r="E19"/>
  <c r="O18"/>
  <c r="L17"/>
  <c r="H17" s="1"/>
  <c r="O17" s="1"/>
  <c r="G17"/>
  <c r="F17"/>
  <c r="E17"/>
  <c r="N16"/>
  <c r="M16"/>
  <c r="M15" s="1"/>
  <c r="L16"/>
  <c r="H16" s="1"/>
  <c r="I16"/>
  <c r="G16"/>
  <c r="F16"/>
  <c r="E16"/>
  <c r="O16" s="1"/>
  <c r="N15"/>
  <c r="N135" s="1"/>
  <c r="I15"/>
  <c r="G15"/>
  <c r="G135" s="1"/>
  <c r="G141" s="1"/>
  <c r="G143" s="1"/>
  <c r="F15"/>
  <c r="E15"/>
  <c r="H15" l="1"/>
  <c r="O15" s="1"/>
  <c r="O104"/>
  <c r="M135"/>
  <c r="F135"/>
  <c r="F141" s="1"/>
  <c r="F143" s="1"/>
  <c r="K135"/>
  <c r="K141" s="1"/>
  <c r="K143" s="1"/>
  <c r="O129"/>
  <c r="E122"/>
  <c r="E135"/>
  <c r="J135"/>
  <c r="J141" s="1"/>
  <c r="J143" s="1"/>
  <c r="O44"/>
  <c r="H43"/>
  <c r="E41"/>
  <c r="O41" s="1"/>
  <c r="O114"/>
  <c r="O20"/>
  <c r="O51"/>
  <c r="O107"/>
  <c r="O133"/>
  <c r="O45"/>
  <c r="O54"/>
  <c r="L97"/>
  <c r="I135"/>
  <c r="L15"/>
  <c r="O89"/>
  <c r="E67"/>
  <c r="O67" s="1"/>
  <c r="L122"/>
  <c r="H122" s="1"/>
  <c r="O122" s="1"/>
  <c r="I104"/>
  <c r="H104" s="1"/>
  <c r="N102" i="4"/>
  <c r="M102"/>
  <c r="L102"/>
  <c r="O34"/>
  <c r="H33"/>
  <c r="O33" s="1"/>
  <c r="H34"/>
  <c r="E31"/>
  <c r="H31" l="1"/>
  <c r="O31" s="1"/>
  <c r="H97" i="5"/>
  <c r="O97" s="1"/>
  <c r="L96"/>
  <c r="E141"/>
  <c r="E143" s="1"/>
  <c r="O43"/>
  <c r="H42"/>
  <c r="O42" s="1"/>
  <c r="I141"/>
  <c r="I143" s="1"/>
  <c r="J83" i="4"/>
  <c r="K83"/>
  <c r="L83"/>
  <c r="M83"/>
  <c r="N83"/>
  <c r="I83"/>
  <c r="F83"/>
  <c r="G83"/>
  <c r="E83"/>
  <c r="H103"/>
  <c r="O103" s="1"/>
  <c r="A103"/>
  <c r="M95"/>
  <c r="M94" s="1"/>
  <c r="N95"/>
  <c r="N94" s="1"/>
  <c r="H101"/>
  <c r="O101" s="1"/>
  <c r="H100"/>
  <c r="O100" s="1"/>
  <c r="N82"/>
  <c r="M82"/>
  <c r="L82"/>
  <c r="M81"/>
  <c r="L81"/>
  <c r="L106"/>
  <c r="M106"/>
  <c r="N106"/>
  <c r="H36"/>
  <c r="H37"/>
  <c r="H38"/>
  <c r="Q96" i="5" l="1"/>
  <c r="H96"/>
  <c r="O96" s="1"/>
  <c r="Q135" s="1"/>
  <c r="L135"/>
  <c r="E57" i="4"/>
  <c r="O59"/>
  <c r="L141" i="5" l="1"/>
  <c r="L143" s="1"/>
  <c r="H135"/>
  <c r="F77" i="4"/>
  <c r="G77"/>
  <c r="H77"/>
  <c r="I77"/>
  <c r="J77"/>
  <c r="K77"/>
  <c r="L77"/>
  <c r="M77"/>
  <c r="N77"/>
  <c r="E77"/>
  <c r="O77" s="1"/>
  <c r="O71"/>
  <c r="F49"/>
  <c r="G49"/>
  <c r="H49"/>
  <c r="I49"/>
  <c r="J49"/>
  <c r="K49"/>
  <c r="L49"/>
  <c r="M49"/>
  <c r="N49"/>
  <c r="O85"/>
  <c r="H84"/>
  <c r="O84" s="1"/>
  <c r="H22"/>
  <c r="E125"/>
  <c r="O125" s="1"/>
  <c r="O126"/>
  <c r="H141" i="5" l="1"/>
  <c r="H143" s="1"/>
  <c r="O135"/>
  <c r="E49" i="4"/>
  <c r="E36" l="1"/>
  <c r="E29" s="1"/>
  <c r="O38"/>
  <c r="O37"/>
  <c r="O36" l="1"/>
  <c r="N128" l="1"/>
  <c r="N127" s="1"/>
  <c r="M128"/>
  <c r="M127" s="1"/>
  <c r="L128"/>
  <c r="L127" s="1"/>
  <c r="N108"/>
  <c r="M108"/>
  <c r="H111"/>
  <c r="O111" s="1"/>
  <c r="E108"/>
  <c r="H129"/>
  <c r="O129" s="1"/>
  <c r="L108" l="1"/>
  <c r="H128"/>
  <c r="M115" l="1"/>
  <c r="N115"/>
  <c r="O119"/>
  <c r="H123"/>
  <c r="L115"/>
  <c r="H115" s="1"/>
  <c r="H121" l="1"/>
  <c r="O121" s="1"/>
  <c r="O123"/>
  <c r="H95" l="1"/>
  <c r="G65" l="1"/>
  <c r="E65"/>
  <c r="H35" l="1"/>
  <c r="H26"/>
  <c r="H25"/>
  <c r="H18"/>
  <c r="H17"/>
  <c r="I134" l="1"/>
  <c r="H133"/>
  <c r="K113"/>
  <c r="L113"/>
  <c r="M113"/>
  <c r="N113"/>
  <c r="J113"/>
  <c r="I113"/>
  <c r="E113"/>
  <c r="O75"/>
  <c r="H113" l="1"/>
  <c r="O113" s="1"/>
  <c r="O120" l="1"/>
  <c r="H117"/>
  <c r="O118"/>
  <c r="H15" l="1"/>
  <c r="M11"/>
  <c r="M139" s="1"/>
  <c r="N11"/>
  <c r="N139" s="1"/>
  <c r="H110" l="1"/>
  <c r="O110" s="1"/>
  <c r="H30" l="1"/>
  <c r="L29"/>
  <c r="H97" l="1"/>
  <c r="H98"/>
  <c r="H99"/>
  <c r="H96"/>
  <c r="O65" l="1"/>
  <c r="O26"/>
  <c r="O18"/>
  <c r="L11"/>
  <c r="L139" s="1"/>
  <c r="H13" l="1"/>
  <c r="O97"/>
  <c r="O98"/>
  <c r="O99"/>
  <c r="O96"/>
  <c r="H94"/>
  <c r="A114" l="1"/>
  <c r="A102"/>
  <c r="G43"/>
  <c r="I127"/>
  <c r="H127" s="1"/>
  <c r="H130"/>
  <c r="O130" s="1"/>
  <c r="E115" l="1"/>
  <c r="O116"/>
  <c r="O95"/>
  <c r="O128"/>
  <c r="E61" l="1"/>
  <c r="G61"/>
  <c r="I61"/>
  <c r="J61"/>
  <c r="K61"/>
  <c r="L61"/>
  <c r="M61"/>
  <c r="N61"/>
  <c r="E68"/>
  <c r="O15" l="1"/>
  <c r="O14"/>
  <c r="E135"/>
  <c r="E134" s="1"/>
  <c r="I11" l="1"/>
  <c r="H12"/>
  <c r="H16"/>
  <c r="H11" l="1"/>
  <c r="H73"/>
  <c r="H46"/>
  <c r="F46"/>
  <c r="G46"/>
  <c r="I46"/>
  <c r="J46"/>
  <c r="K46"/>
  <c r="L46"/>
  <c r="M46"/>
  <c r="N46"/>
  <c r="E46"/>
  <c r="E73" l="1"/>
  <c r="M43"/>
  <c r="N43"/>
  <c r="F43"/>
  <c r="I43"/>
  <c r="J43"/>
  <c r="K43"/>
  <c r="E43"/>
  <c r="M40"/>
  <c r="N40"/>
  <c r="F40"/>
  <c r="G40"/>
  <c r="I40"/>
  <c r="J40"/>
  <c r="K40"/>
  <c r="E40"/>
  <c r="H109"/>
  <c r="O109" s="1"/>
  <c r="H114"/>
  <c r="H112" s="1"/>
  <c r="E112"/>
  <c r="N112"/>
  <c r="M112"/>
  <c r="L112"/>
  <c r="K112"/>
  <c r="J112"/>
  <c r="I112"/>
  <c r="O114" l="1"/>
  <c r="O112"/>
  <c r="H107"/>
  <c r="O107" s="1"/>
  <c r="K106"/>
  <c r="J106"/>
  <c r="I106"/>
  <c r="E106"/>
  <c r="E105" s="1"/>
  <c r="K108"/>
  <c r="J108"/>
  <c r="I108"/>
  <c r="H108" s="1"/>
  <c r="I105" l="1"/>
  <c r="J105"/>
  <c r="K105"/>
  <c r="O108"/>
  <c r="H106"/>
  <c r="O106" s="1"/>
  <c r="H132" l="1"/>
  <c r="I131"/>
  <c r="I124" s="1"/>
  <c r="J131"/>
  <c r="J124" s="1"/>
  <c r="K131"/>
  <c r="K124" s="1"/>
  <c r="L131"/>
  <c r="L124" s="1"/>
  <c r="M131"/>
  <c r="M124" s="1"/>
  <c r="N131"/>
  <c r="N124" s="1"/>
  <c r="E131"/>
  <c r="E124" s="1"/>
  <c r="O132" l="1"/>
  <c r="H131"/>
  <c r="O131" s="1"/>
  <c r="H124"/>
  <c r="O124" s="1"/>
  <c r="E92"/>
  <c r="E87"/>
  <c r="N79"/>
  <c r="M79"/>
  <c r="L79"/>
  <c r="J79"/>
  <c r="I79"/>
  <c r="G79"/>
  <c r="E79"/>
  <c r="H79" l="1"/>
  <c r="F79"/>
  <c r="F65"/>
  <c r="F61"/>
  <c r="E11" l="1"/>
  <c r="E139" s="1"/>
  <c r="O13"/>
  <c r="F11"/>
  <c r="G11"/>
  <c r="O11" l="1"/>
  <c r="O12" l="1"/>
  <c r="H135"/>
  <c r="O135" s="1"/>
  <c r="O133"/>
  <c r="M90"/>
  <c r="M86" s="1"/>
  <c r="N90"/>
  <c r="N86" s="1"/>
  <c r="L90"/>
  <c r="L86" s="1"/>
  <c r="H91"/>
  <c r="I90"/>
  <c r="O70"/>
  <c r="M29"/>
  <c r="O19"/>
  <c r="O93"/>
  <c r="O69"/>
  <c r="N29"/>
  <c r="F90"/>
  <c r="F86" s="1"/>
  <c r="O21"/>
  <c r="O20"/>
  <c r="E63"/>
  <c r="E39" s="1"/>
  <c r="H62"/>
  <c r="O64"/>
  <c r="O87"/>
  <c r="E90"/>
  <c r="O92"/>
  <c r="M105"/>
  <c r="N105"/>
  <c r="O117"/>
  <c r="G90"/>
  <c r="G86" s="1"/>
  <c r="O88"/>
  <c r="O89"/>
  <c r="L45"/>
  <c r="L44" s="1"/>
  <c r="L43" s="1"/>
  <c r="L42" s="1"/>
  <c r="L41" s="1"/>
  <c r="L40" s="1"/>
  <c r="L39" s="1"/>
  <c r="H104"/>
  <c r="O104" s="1"/>
  <c r="L134"/>
  <c r="H134" s="1"/>
  <c r="N39"/>
  <c r="M39"/>
  <c r="I39"/>
  <c r="J39"/>
  <c r="K39"/>
  <c r="O68"/>
  <c r="O67"/>
  <c r="H83"/>
  <c r="O83" s="1"/>
  <c r="H82"/>
  <c r="O82" s="1"/>
  <c r="H81"/>
  <c r="O81" s="1"/>
  <c r="H80"/>
  <c r="O80" s="1"/>
  <c r="O25"/>
  <c r="O17"/>
  <c r="H102"/>
  <c r="O102" s="1"/>
  <c r="O74"/>
  <c r="O73" s="1"/>
  <c r="O72"/>
  <c r="J29"/>
  <c r="K29"/>
  <c r="I29"/>
  <c r="O30"/>
  <c r="O22"/>
  <c r="H136"/>
  <c r="O136" s="1"/>
  <c r="O66"/>
  <c r="J139" l="1"/>
  <c r="O63"/>
  <c r="K139"/>
  <c r="F39"/>
  <c r="F139" s="1"/>
  <c r="G39"/>
  <c r="G139" s="1"/>
  <c r="O115"/>
  <c r="Q94"/>
  <c r="L105"/>
  <c r="H39"/>
  <c r="O62"/>
  <c r="H61"/>
  <c r="O61" s="1"/>
  <c r="H29"/>
  <c r="O29" s="1"/>
  <c r="H90"/>
  <c r="I86"/>
  <c r="H86" s="1"/>
  <c r="O134"/>
  <c r="O91"/>
  <c r="O90" s="1"/>
  <c r="O94"/>
  <c r="O35"/>
  <c r="E86"/>
  <c r="O127"/>
  <c r="O79"/>
  <c r="O16"/>
  <c r="H105" l="1"/>
  <c r="O105" s="1"/>
  <c r="I139"/>
  <c r="H138" s="1"/>
  <c r="O138" s="1"/>
  <c r="O86"/>
  <c r="H139" l="1"/>
  <c r="O139" s="1"/>
  <c r="O60"/>
  <c r="O58" l="1"/>
  <c r="O57" l="1"/>
  <c r="O56" l="1"/>
  <c r="O55" l="1"/>
  <c r="O54" l="1"/>
  <c r="O53" l="1"/>
  <c r="O52" l="1"/>
  <c r="O51" l="1"/>
  <c r="O50" l="1"/>
  <c r="O49" s="1"/>
  <c r="O48" l="1"/>
  <c r="O47" l="1"/>
  <c r="O46" l="1"/>
  <c r="O45" l="1"/>
  <c r="H43" l="1"/>
  <c r="O44"/>
  <c r="H42" l="1"/>
  <c r="O43"/>
  <c r="H41" l="1"/>
  <c r="O42"/>
  <c r="H40" l="1"/>
  <c r="O41"/>
  <c r="O40" l="1"/>
  <c r="O39"/>
  <c r="J125" i="8"/>
  <c r="Q125" s="1"/>
  <c r="J109"/>
  <c r="J129"/>
  <c r="J140"/>
  <c r="Q140" s="1"/>
  <c r="J134"/>
  <c r="Q134" s="1"/>
  <c r="J142"/>
  <c r="Q142" s="1"/>
  <c r="J126"/>
  <c r="Q126" s="1"/>
  <c r="J136"/>
  <c r="Q136" s="1"/>
  <c r="J111"/>
  <c r="Q111" s="1"/>
  <c r="J137"/>
  <c r="Q137" s="1"/>
  <c r="J116"/>
  <c r="Q116" s="1"/>
  <c r="J112"/>
  <c r="Q112" s="1"/>
  <c r="J133"/>
  <c r="Q133" s="1"/>
  <c r="J138"/>
  <c r="Q138" s="1"/>
  <c r="J127"/>
  <c r="Q127" s="1"/>
  <c r="J120"/>
  <c r="Q120" s="1"/>
  <c r="J115"/>
  <c r="Q115" s="1"/>
  <c r="J128"/>
  <c r="Q139"/>
  <c r="J118"/>
  <c r="Q118" s="1"/>
  <c r="J141"/>
  <c r="Q141" s="1"/>
  <c r="J123"/>
  <c r="Q123" s="1"/>
  <c r="J132"/>
  <c r="Q132" s="1"/>
  <c r="J119"/>
  <c r="Q119" s="1"/>
  <c r="J122"/>
  <c r="Q122" s="1"/>
  <c r="J110"/>
  <c r="Q110" s="1"/>
  <c r="J121"/>
  <c r="Q121" s="1"/>
  <c r="J117"/>
  <c r="Q117" s="1"/>
  <c r="J124"/>
  <c r="Q124" s="1"/>
  <c r="Q109" l="1"/>
  <c r="J108"/>
  <c r="J144" l="1"/>
  <c r="Q144" s="1"/>
  <c r="Q108"/>
</calcChain>
</file>

<file path=xl/comments1.xml><?xml version="1.0" encoding="utf-8"?>
<comments xmlns="http://schemas.openxmlformats.org/spreadsheetml/2006/main">
  <authors>
    <author>User</author>
  </authors>
  <commentList>
    <comment ref="C4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 наказе только в єтом сборном коде есть КФК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C4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 наказе только в єтом сборном коде есть КФК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C5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 наказе только в єтом сборном коде есть КФК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C4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 наказе только в єтом сборном коде есть КФК</t>
        </r>
      </text>
    </comment>
  </commentList>
</comments>
</file>

<file path=xl/sharedStrings.xml><?xml version="1.0" encoding="utf-8"?>
<sst xmlns="http://schemas.openxmlformats.org/spreadsheetml/2006/main" count="1438" uniqueCount="330">
  <si>
    <t>(тис.грн.)</t>
  </si>
  <si>
    <t>Видатки загального фонду</t>
  </si>
  <si>
    <t>Всього</t>
  </si>
  <si>
    <t>з них</t>
  </si>
  <si>
    <t>комунальні послуги та енергоносії</t>
  </si>
  <si>
    <t>Видатки спеціального фонду</t>
  </si>
  <si>
    <t>споживання</t>
  </si>
  <si>
    <t>розвитку</t>
  </si>
  <si>
    <t>бюджет розвитку</t>
  </si>
  <si>
    <t>капітальні видатки за рахунок коштів, що передаються із загального фонду до бюджету розвитку (спеціального фонду)</t>
  </si>
  <si>
    <t>РАЗОМ</t>
  </si>
  <si>
    <t>Державне управління </t>
  </si>
  <si>
    <t>Освіта </t>
  </si>
  <si>
    <t>Соціальний захист та соціальне забезпечення </t>
  </si>
  <si>
    <t>Житлово-комунальне господарство </t>
  </si>
  <si>
    <t>Культура і мистецтво </t>
  </si>
  <si>
    <t>оплата праці з нарахуваннями</t>
  </si>
  <si>
    <t>Резервний фонд</t>
  </si>
  <si>
    <t>Засоби масової інформації </t>
  </si>
  <si>
    <t>Фізична культура і спорт </t>
  </si>
  <si>
    <t xml:space="preserve">в тому числі оплата праці з нарахуваннями педагогічних працівників у таких типах навчальних закладів за рахунок освітньої  субвенції </t>
  </si>
  <si>
    <t>Охорона здоров'я</t>
  </si>
  <si>
    <t>Код ТПКВКМБ/ТКВКБМС</t>
  </si>
  <si>
    <t>Код ФКВКБ</t>
  </si>
  <si>
    <t>14=4+7</t>
  </si>
  <si>
    <t>0100</t>
  </si>
  <si>
    <t>0180</t>
  </si>
  <si>
    <t>0111</t>
  </si>
  <si>
    <t>1000</t>
  </si>
  <si>
    <t>0910</t>
  </si>
  <si>
    <t>1010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</si>
  <si>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</si>
  <si>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</si>
  <si>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</si>
  <si>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</si>
  <si>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освiти вечiрнiми (змiнними) школами</t>
  </si>
  <si>
    <t>1060</t>
  </si>
  <si>
    <t>0922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</si>
  <si>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</si>
  <si>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</si>
  <si>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</si>
  <si>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1150</t>
  </si>
  <si>
    <t>0950</t>
  </si>
  <si>
    <t>0990</t>
  </si>
  <si>
    <t>2000</t>
  </si>
  <si>
    <t>2010</t>
  </si>
  <si>
    <t>0731</t>
  </si>
  <si>
    <t>Багатопрофільна стаціонарна медична допомога населенню</t>
  </si>
  <si>
    <t>0722</t>
  </si>
  <si>
    <t>3000</t>
  </si>
  <si>
    <t>3010</t>
  </si>
  <si>
    <t>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</si>
  <si>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3011</t>
  </si>
  <si>
    <t>3020</t>
  </si>
  <si>
    <t>Надання пільг та субсидій населенню на придбання твердого та рідкого пічного побутового палива і скрапленого газу</t>
  </si>
  <si>
    <t>3021</t>
  </si>
  <si>
    <t>6000</t>
  </si>
  <si>
    <t>6010</t>
  </si>
  <si>
    <t>6030</t>
  </si>
  <si>
    <t>0620</t>
  </si>
  <si>
    <t>4000</t>
  </si>
  <si>
    <t>4060</t>
  </si>
  <si>
    <t>0824</t>
  </si>
  <si>
    <t>0828</t>
  </si>
  <si>
    <t>0829</t>
  </si>
  <si>
    <t>5000</t>
  </si>
  <si>
    <t>5010</t>
  </si>
  <si>
    <t>Проведення спортивної роботи в регіоні</t>
  </si>
  <si>
    <t>5011</t>
  </si>
  <si>
    <t>0810</t>
  </si>
  <si>
    <t>Проведення навчально-тренувальних зборів і змагань з олімпійських видів спорту</t>
  </si>
  <si>
    <t>0490</t>
  </si>
  <si>
    <t>0443</t>
  </si>
  <si>
    <t>3030</t>
  </si>
  <si>
    <t>1070</t>
  </si>
  <si>
    <t>0456</t>
  </si>
  <si>
    <t>0830</t>
  </si>
  <si>
    <t>7400</t>
  </si>
  <si>
    <t>0470</t>
  </si>
  <si>
    <t>Заходи з енергозбереження</t>
  </si>
  <si>
    <t>9100</t>
  </si>
  <si>
    <t>0540</t>
  </si>
  <si>
    <t>0133</t>
  </si>
  <si>
    <t>8000</t>
  </si>
  <si>
    <t>3031</t>
  </si>
  <si>
    <t>3012</t>
  </si>
  <si>
    <t>Надання пільг окремим категоріям громадян з оплати послуг зв'язку</t>
  </si>
  <si>
    <t>3040</t>
  </si>
  <si>
    <t>3041</t>
  </si>
  <si>
    <t>1040</t>
  </si>
  <si>
    <t>Надання допомоги у зв`язку з вагітністю і пологами </t>
  </si>
  <si>
    <t>3042</t>
  </si>
  <si>
    <t>3043</t>
  </si>
  <si>
    <t>Надання допомоги при народженні дитини </t>
  </si>
  <si>
    <t>3044</t>
  </si>
  <si>
    <t>Надання допомоги на дітей, над якими встановлено опіку чи піклування </t>
  </si>
  <si>
    <t>3045</t>
  </si>
  <si>
    <t>Надання допомоги на дітей одиноким матерям </t>
  </si>
  <si>
    <t>3046</t>
  </si>
  <si>
    <t>Надання тимчасової державної допомоги дітям </t>
  </si>
  <si>
    <t>3047</t>
  </si>
  <si>
    <t>Надання допомоги при усиновленні дитини </t>
  </si>
  <si>
    <t>Надання державної соціальної допомоги малозабезпеченим сім`ям 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</si>
  <si>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</si>
  <si>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</si>
  <si>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3110</t>
  </si>
  <si>
    <t>3112</t>
  </si>
  <si>
    <t>Заклади і заходи з питань дітей та їх соціального захисту</t>
  </si>
  <si>
    <t>3130</t>
  </si>
  <si>
    <t>Здійснення соціальної роботи з вразливими категоріями населення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</si>
  <si>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</si>
  <si>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</si>
  <si>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3100</t>
  </si>
  <si>
    <t>3104</t>
  </si>
  <si>
    <t>3180</t>
  </si>
  <si>
    <t>Соціальний захист ветеранів війни та праці</t>
  </si>
  <si>
    <t>3080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</si>
  <si>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</si>
  <si>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Заходи державної політики з питань дітей та їх соціального захисту</t>
  </si>
  <si>
    <t>Заходи державної політики з питань сім'ї</t>
  </si>
  <si>
    <t>5012</t>
  </si>
  <si>
    <t>Проведення навчально-тренувальних зборів і змагань з неолімпійських видів спорту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</si>
  <si>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</si>
  <si>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Секретар ради</t>
  </si>
  <si>
    <t>О. Р. Боровська</t>
  </si>
  <si>
    <t>Розвиток дитячо-юнацького та резервного спорту</t>
  </si>
  <si>
    <t>5030</t>
  </si>
  <si>
    <t>5031</t>
  </si>
  <si>
    <t>Реалізація  державної політики у молодіжній сфері</t>
  </si>
  <si>
    <t>Інші заходи та заклади молодіжної політики</t>
  </si>
  <si>
    <t>Утримання та навчально-тренувальна робота комунальних дитячо-юнацьких спортивних шкіл </t>
  </si>
  <si>
    <t>5060</t>
  </si>
  <si>
    <t>Інші заходи з розвитку фізичної культури та спорту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</si>
  <si>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</si>
  <si>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</si>
  <si>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0421</t>
  </si>
  <si>
    <t>7300</t>
  </si>
  <si>
    <t>7310</t>
  </si>
  <si>
    <t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</si>
  <si>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0150</t>
  </si>
  <si>
    <t>2100</t>
  </si>
  <si>
    <t>0160</t>
  </si>
  <si>
    <t>1140</t>
  </si>
  <si>
    <t>1160</t>
  </si>
  <si>
    <t>Інші програми, заклади та заходи у сфері овіти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</si>
  <si>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</si>
  <si>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</si>
  <si>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3120</t>
  </si>
  <si>
    <t>3121</t>
  </si>
  <si>
    <t>Утримання та забезпечення діяльності центрів соціальних служб для сім'ї, дітей та молоді</t>
  </si>
  <si>
    <t>3123</t>
  </si>
  <si>
    <t>3133</t>
  </si>
  <si>
    <t>4030</t>
  </si>
  <si>
    <t>4040</t>
  </si>
  <si>
    <t>Забезпечення діяльності музеїв і виставок</t>
  </si>
  <si>
    <t>Забезпечення діяльності бібліотек</t>
  </si>
  <si>
    <t>Забезпечення діяльності палаців і будинків культури, клубів, центрів дозвілля та інших  клубних закладів </t>
  </si>
  <si>
    <t>4080</t>
  </si>
  <si>
    <t>Інші заклади та заходи в галузі  культури і мистецтва</t>
  </si>
  <si>
    <t>Фінансова підтримка засобів масової інформації</t>
  </si>
  <si>
    <t>8400</t>
  </si>
  <si>
    <t>8410</t>
  </si>
  <si>
    <t>Надання дошкільної освіти</t>
  </si>
  <si>
    <t>Транспорт та транспортна інфраструктура, дорожнє господарство</t>
  </si>
  <si>
    <t>7460</t>
  </si>
  <si>
    <t xml:space="preserve">Утримання та розвиток автомобільних доріг та дорожньої інфраструктури </t>
  </si>
  <si>
    <t>Утримання та розвиток автомобільних  доріг та дорожньої інфрасттруктури за рахунок коштів місцевого бюджету</t>
  </si>
  <si>
    <t>7461</t>
  </si>
  <si>
    <t>Інша діяльність</t>
  </si>
  <si>
    <t>7100</t>
  </si>
  <si>
    <t>Здійснення заходів із землеустрою</t>
  </si>
  <si>
    <t>7000</t>
  </si>
  <si>
    <t>Економічна діяльність</t>
  </si>
  <si>
    <t>Будівництво та регіональний розвиток</t>
  </si>
  <si>
    <t>Будівництво об'єктів житлово-комунального господарства</t>
  </si>
  <si>
    <t>Організація благоустрою населених пунктів</t>
  </si>
  <si>
    <t>Надання пільг  на  оплату житлово-комунальних  послуг окремим категоріям громадян відповідно до законодавства</t>
  </si>
  <si>
    <t>Надання пільг   на придбання твердого  та  рідкого пічного побутового палива і скрапленого газу окремим категоріям громадян відповідно до законодавства</t>
  </si>
  <si>
    <t>3022</t>
  </si>
  <si>
    <t>Надання пільг з оплати послуг зв'язку,  інших передбачених законодавством пільг окремим категоріям громадян  та компенсації за пільговий проїзд окремих категорій громадян</t>
  </si>
  <si>
    <t>Надання інших пільг окремим категоріям громадян відповідно до законодавства</t>
  </si>
  <si>
    <t>3032</t>
  </si>
  <si>
    <t>3160</t>
  </si>
  <si>
    <t>6011</t>
  </si>
  <si>
    <t>6013</t>
  </si>
  <si>
    <t>Забезпечення діяльності водопроводно-каналізаційного господарства</t>
  </si>
  <si>
    <t>Забезпечення діяльності з виробництва, транспортування, постачання теплової енергії</t>
  </si>
  <si>
    <t>6012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</si>
  <si>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</si>
  <si>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</si>
  <si>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</si>
  <si>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7130</t>
  </si>
  <si>
    <t>Реалізація інших заходів щодо соціально-економічного розвитку територій</t>
  </si>
  <si>
    <t>7600</t>
  </si>
  <si>
    <t>Інші програми та заходи, пов'язані з економічною діяльністю</t>
  </si>
  <si>
    <t>7640</t>
  </si>
  <si>
    <t>7670</t>
  </si>
  <si>
    <t>Внески до статутного капіталу суб'єктів господарювання</t>
  </si>
  <si>
    <t>8300</t>
  </si>
  <si>
    <t>Охорона навколишнього природного середовища</t>
  </si>
  <si>
    <t>Інша діяльність у сфері державного управління</t>
  </si>
  <si>
    <t>7650</t>
  </si>
  <si>
    <t>Проведення експертної грошової оцінки земельної ділянки чи права на неї</t>
  </si>
  <si>
    <t>8700</t>
  </si>
  <si>
    <t>9000</t>
  </si>
  <si>
    <t>Міжбюджетні трансферти</t>
  </si>
  <si>
    <t>9110</t>
  </si>
  <si>
    <t>Реверсна дотація</t>
  </si>
  <si>
    <t>7680</t>
  </si>
  <si>
    <t>Членські внески до асоціацій органів місцевого самоврядування</t>
  </si>
  <si>
    <t>45,03,75</t>
  </si>
  <si>
    <t>7610</t>
  </si>
  <si>
    <t>0411</t>
  </si>
  <si>
    <t>Сприяння розвитку малого та середнього підприємництва</t>
  </si>
  <si>
    <t>8310</t>
  </si>
  <si>
    <t>Запобігання та ліквідація забруднення навколишнього природного середовища</t>
  </si>
  <si>
    <t>1050</t>
  </si>
  <si>
    <t>Організація та проведення громадських робіт</t>
  </si>
  <si>
    <t>6015</t>
  </si>
  <si>
    <t>Забезпечення надійної та безперебійної експлуатації ліфтів</t>
  </si>
  <si>
    <t>0610</t>
  </si>
  <si>
    <t>7690</t>
  </si>
  <si>
    <t>Інша економічна діяльність</t>
  </si>
  <si>
    <t>8311</t>
  </si>
  <si>
    <t>0511</t>
  </si>
  <si>
    <t xml:space="preserve">Охорона та раціональне використання природних ресурсів </t>
  </si>
  <si>
    <t>8340</t>
  </si>
  <si>
    <t>Природоохоронні заходи за рахунок цільових фондів</t>
  </si>
  <si>
    <t>7350</t>
  </si>
  <si>
    <t>6082</t>
  </si>
  <si>
    <t>Придбання житла для окремих категорій населення відповідно до законодавства</t>
  </si>
  <si>
    <t>Програми і централізовані заходи у галузі охорони здоров’я</t>
  </si>
  <si>
    <t>2140</t>
  </si>
  <si>
    <t>Централізовані заходи з лікування хворих на цукровий та нецукровий діабет</t>
  </si>
  <si>
    <t>Відшкодування вартості лікарських засобів для лікування окремих захворювань</t>
  </si>
  <si>
    <t>2144</t>
  </si>
  <si>
    <t>2146</t>
  </si>
  <si>
    <t>0763</t>
  </si>
  <si>
    <t xml:space="preserve">Найменування кодів Типової програмної класифікації видатків та кредитування місцевих бюджетів </t>
  </si>
  <si>
    <t>Інші заклади та заходи</t>
  </si>
  <si>
    <t>Захист населення і територій від надзвичайних ситуацій техногенного та природного характеру</t>
  </si>
  <si>
    <t>8100</t>
  </si>
  <si>
    <t>8110</t>
  </si>
  <si>
    <t>0320</t>
  </si>
  <si>
    <t>Утримання та ефективна експлуатація об’єктів житлово-комунального господарства</t>
  </si>
  <si>
    <t>Експлуатація та технічне обслуговування житлового фонду</t>
  </si>
  <si>
    <t>1161</t>
  </si>
  <si>
    <t>Забезпечення діяльності інших закладів у сфері освіти</t>
  </si>
  <si>
    <t>4081</t>
  </si>
  <si>
    <t>4082</t>
  </si>
  <si>
    <t>Забезпечення діяльності інших закладів в галузі кульури  і мистецтва</t>
  </si>
  <si>
    <t>Інші заходи в галузі культури і мистецтва</t>
  </si>
  <si>
    <t>7370</t>
  </si>
  <si>
    <t>7693</t>
  </si>
  <si>
    <t xml:space="preserve">Заходи із запобігання та ліквідації надзвичайних ситуацій та наслідків  стихійного лиха </t>
  </si>
  <si>
    <t>3210</t>
  </si>
  <si>
    <t>Надання допомоги сім'ям з дітьми, малозабезпеченим сім'ям,  тимчасової допомоги дітям</t>
  </si>
  <si>
    <t>Надання допомоги особам з інвалідністю, дітям з інвалідністю, особам, які не мають права на пенсію , непрацюючий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 за особою, яка досягла 80-річного віку</t>
  </si>
  <si>
    <t>3081</t>
  </si>
  <si>
    <t>3083</t>
  </si>
  <si>
    <t>Надання державної соціальної допомоги особам з інвалідністю  з дитинства та дітям з інвалідністю</t>
  </si>
  <si>
    <t>Надання допомоги по  догляду за особами з інвалідністю    I чи II групи внаслідок психічного розладу</t>
  </si>
  <si>
    <t>Надання соціальних та реабілітаційних послуг громадянам похилого віку, особам з інвалідністю, дітям з інвалідністю  в установах соціального обслуговування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</si>
  <si>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</si>
  <si>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</si>
  <si>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3190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</si>
  <si>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</si>
  <si>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</si>
  <si>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3240</t>
  </si>
  <si>
    <t>3242</t>
  </si>
  <si>
    <t>Інші заходи у сфері соціального захисту і соціального забезпечення</t>
  </si>
  <si>
    <t>Керівництво і управління у відповідній сфері у містах (місті Києві ), селищах, селах, об'єднаних територіальних громадах</t>
  </si>
  <si>
    <t>Підвищення кваліфікації, перепідготовка кадрів  закладами післядипломної освіти</t>
  </si>
  <si>
    <t xml:space="preserve">Методичне забезпечення діяльності навчальних закладів </t>
  </si>
  <si>
    <t>Стоматологічна допомога населенню</t>
  </si>
  <si>
    <t>Розроблення схем планування та забудови території (містобудівної документації)</t>
  </si>
  <si>
    <t>Сільське, лісове, рибне господарство та мисливство</t>
  </si>
  <si>
    <t>Інші заходи, пов'язані з економічною діяльністю</t>
  </si>
  <si>
    <t>Дотації з місцевого бюджету іншим</t>
  </si>
  <si>
    <t>1162</t>
  </si>
  <si>
    <t>Інші програми та заходи у сфері освіти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</si>
  <si>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</si>
  <si>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3082</t>
  </si>
  <si>
    <t xml:space="preserve">Зміни та доповнення до видатків  бюджету  міста  Чорноморська на   2018 рік  за програмною  класифікацію видатків та кредитування місцевих бюджетів </t>
  </si>
  <si>
    <t>6016</t>
  </si>
  <si>
    <t>Впровадження засобів обліку витрат та регулювання споживання води та теплової енергії</t>
  </si>
  <si>
    <t>6017</t>
  </si>
  <si>
    <t>Інша діяльність, пов'язана з експлуатацією об'єктів житлово - комунального господарства</t>
  </si>
  <si>
    <t>6060</t>
  </si>
  <si>
    <t>Утримання об'єктів соціальної сфери підприємств, що передаються до комунальної власності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</si>
  <si>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</si>
  <si>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</si>
  <si>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на первинну медичну допомогу</t>
  </si>
  <si>
    <t>Додаток № 2</t>
  </si>
  <si>
    <t>до  рішення Чорноморської міської ради</t>
  </si>
  <si>
    <t>від  22.12.2017 р. № 272-VII</t>
  </si>
  <si>
    <t>Видатки бюджету міста Чорноморська  на 2018 рік</t>
  </si>
  <si>
    <t>за типовою програмною  класифікацією видатків та кредитування місцевих бюджетів</t>
  </si>
  <si>
    <t>на вторинну медичну допомогу</t>
  </si>
  <si>
    <r>
      <t>в т.ч. на оновлення матеріально-технічної бази навчального закладу за рахунок  залишку коштів за освітньою субвенцією, який сформувався станом на 01.01.2018 року  (п. 4, ст.103</t>
    </r>
    <r>
      <rPr>
        <sz val="11"/>
        <rFont val="Times New Roman"/>
        <family val="1"/>
        <charset val="204"/>
      </rPr>
      <t>²</t>
    </r>
    <r>
      <rPr>
        <i/>
        <sz val="11"/>
        <rFont val="Times New Roman"/>
        <family val="1"/>
        <charset val="204"/>
      </rPr>
      <t xml:space="preserve"> Бюджетного кодексу України)</t>
    </r>
  </si>
  <si>
    <r>
      <t>в т.ч. на оновлення матеріально-технічної бази навчальних закладів  за рахунок  залишку коштів за освітньою субвенцією, який сформувався станом на 01.01.2018 року  (п. 4, ст.103</t>
    </r>
    <r>
      <rPr>
        <sz val="11"/>
        <rFont val="Times New Roman"/>
        <family val="1"/>
        <charset val="204"/>
      </rPr>
      <t>²</t>
    </r>
    <r>
      <rPr>
        <i/>
        <sz val="11"/>
        <rFont val="Times New Roman"/>
        <family val="1"/>
        <charset val="204"/>
      </rPr>
      <t xml:space="preserve"> Бюджетного кодексу України)</t>
    </r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</si>
  <si>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</si>
  <si>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</si>
  <si>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 xml:space="preserve">Видатки  за рахунок коштів медичної субвенції, всього - </t>
  </si>
  <si>
    <t>в т.ч.:</t>
  </si>
  <si>
    <t>9770</t>
  </si>
  <si>
    <t>Інші субвенції з місцевого бюджету</t>
  </si>
  <si>
    <t>від  16.02.2018 р. № 284 - VII</t>
  </si>
  <si>
    <t>до рішення Чорноморської міської ради</t>
  </si>
  <si>
    <t>зі змінами та доповненнями, внесеними рішеннями ЧМР :</t>
  </si>
  <si>
    <t>від 16.02.2018р. № 284-VII</t>
  </si>
  <si>
    <t>в тому числі :</t>
  </si>
  <si>
    <t xml:space="preserve">оплата праці з нарахуваннями педагогічних працівників у таких типах навчальних закладів за рахунок освітньої  субвенції </t>
  </si>
  <si>
    <r>
      <t>на оновлення матеріально-технічної бази навчальних закладів  за рахунок  залишку коштів за освітньою субвенцією, який сформувався станом на 01.01.2018 року  (п. 4, ст.103</t>
    </r>
    <r>
      <rPr>
        <sz val="11"/>
        <rFont val="Times New Roman"/>
        <family val="1"/>
        <charset val="204"/>
      </rPr>
      <t>²</t>
    </r>
    <r>
      <rPr>
        <i/>
        <sz val="11"/>
        <rFont val="Times New Roman"/>
        <family val="1"/>
        <charset val="204"/>
      </rPr>
      <t xml:space="preserve"> Бюджетного кодексу України)</t>
    </r>
  </si>
  <si>
    <r>
      <t>на оновлення матеріально-технічної бази навчального закладу за рахунок  залишку коштів за освітньою субвенцією, який сформувався станом на 01.01.2018 року  (п. 4, ст.103</t>
    </r>
    <r>
      <rPr>
        <sz val="11"/>
        <rFont val="Times New Roman"/>
        <family val="1"/>
        <charset val="204"/>
      </rPr>
      <t>²</t>
    </r>
    <r>
      <rPr>
        <i/>
        <sz val="11"/>
        <rFont val="Times New Roman"/>
        <family val="1"/>
        <charset val="204"/>
      </rPr>
      <t xml:space="preserve"> Бюджетного кодексу України)</t>
    </r>
  </si>
  <si>
    <r>
      <t>На оновлення матеріально-технічної бази закладів  охорони здоров'я за рахунок  залишку коштів за медичною субвенцією, який сформувався станом на 01.01.2018 року  (п. 4. ст.103</t>
    </r>
    <r>
      <rPr>
        <i/>
        <vertAlign val="superscript"/>
        <sz val="11"/>
        <rFont val="Times New Roman"/>
        <family val="1"/>
        <charset val="204"/>
      </rPr>
      <t>4</t>
    </r>
    <r>
      <rPr>
        <i/>
        <sz val="11"/>
        <rFont val="Times New Roman"/>
        <family val="1"/>
        <charset val="204"/>
      </rPr>
      <t>Бюджетного кодексу України)</t>
    </r>
  </si>
  <si>
    <t>видатки споживання</t>
  </si>
  <si>
    <t>видатки розвитку</t>
  </si>
  <si>
    <t>8200</t>
  </si>
  <si>
    <t>Громадський порядок та безпека</t>
  </si>
  <si>
    <t>8220</t>
  </si>
  <si>
    <t>0380</t>
  </si>
  <si>
    <t>Заходи та роботи з мобілізаційної підготовки місцевого значення</t>
  </si>
  <si>
    <t xml:space="preserve">в т.ч. за рахунок </t>
  </si>
  <si>
    <t>дотації 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(передана до іншого місцевого бюджету)</t>
  </si>
  <si>
    <t>субвенції місцевого бюджету на здійснення переданих
 видатків у сфері охорони здоров'я за рахунок коштів медичної субвенції (передана до іншого місцевого бюджету)</t>
  </si>
  <si>
    <t xml:space="preserve">від            2018 р. №        </t>
  </si>
  <si>
    <t>Керуючий справами</t>
  </si>
  <si>
    <t>І. А. Лубковський</t>
  </si>
  <si>
    <t>до рішення виконавчого комітету Чорноморської міської ради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</si>
</sst>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#,##0.00000"/>
    <numFmt numFmtId="166" formatCode="#,##0.0000"/>
    <numFmt numFmtId="167" formatCode="0.0"/>
  </numFmts>
  <fonts count="37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6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FF"/>
      <name val="Times New Roman"/>
      <family val="1"/>
    </font>
    <font>
      <i/>
      <vertAlign val="superscript"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7" fillId="0" borderId="0"/>
    <xf numFmtId="0" fontId="2" fillId="0" borderId="0"/>
    <xf numFmtId="0" fontId="2" fillId="0" borderId="0"/>
    <xf numFmtId="0" fontId="1" fillId="0" borderId="0"/>
  </cellStyleXfs>
  <cellXfs count="147">
    <xf numFmtId="0" fontId="0" fillId="0" borderId="0" xfId="0"/>
    <xf numFmtId="0" fontId="18" fillId="2" borderId="0" xfId="0" applyFont="1" applyFill="1"/>
    <xf numFmtId="164" fontId="3" fillId="2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horizontal="left"/>
    </xf>
    <xf numFmtId="0" fontId="18" fillId="2" borderId="0" xfId="0" applyFont="1" applyFill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wrapText="1"/>
    </xf>
    <xf numFmtId="0" fontId="14" fillId="2" borderId="0" xfId="0" applyFont="1" applyFill="1"/>
    <xf numFmtId="0" fontId="13" fillId="2" borderId="1" xfId="0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/>
    </xf>
    <xf numFmtId="165" fontId="8" fillId="2" borderId="1" xfId="0" applyNumberFormat="1" applyFont="1" applyFill="1" applyBorder="1" applyAlignment="1">
      <alignment horizontal="center"/>
    </xf>
    <xf numFmtId="165" fontId="9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2" applyFont="1" applyFill="1" applyBorder="1" applyAlignment="1">
      <alignment horizontal="left" wrapText="1"/>
    </xf>
    <xf numFmtId="0" fontId="19" fillId="2" borderId="0" xfId="0" applyFont="1" applyFill="1"/>
    <xf numFmtId="164" fontId="9" fillId="2" borderId="1" xfId="3" applyNumberFormat="1" applyFont="1" applyFill="1" applyBorder="1" applyAlignment="1">
      <alignment horizontal="center"/>
    </xf>
    <xf numFmtId="165" fontId="9" fillId="2" borderId="1" xfId="3" applyNumberFormat="1" applyFont="1" applyFill="1" applyBorder="1" applyAlignment="1">
      <alignment horizontal="center"/>
    </xf>
    <xf numFmtId="0" fontId="21" fillId="2" borderId="0" xfId="0" applyFont="1" applyFill="1"/>
    <xf numFmtId="0" fontId="18" fillId="2" borderId="0" xfId="0" applyFont="1" applyFill="1" applyAlignment="1">
      <alignment vertical="center"/>
    </xf>
    <xf numFmtId="165" fontId="3" fillId="2" borderId="1" xfId="3" applyNumberFormat="1" applyFont="1" applyFill="1" applyBorder="1" applyAlignment="1">
      <alignment horizontal="center"/>
    </xf>
    <xf numFmtId="164" fontId="3" fillId="2" borderId="1" xfId="3" applyNumberFormat="1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wrapText="1"/>
    </xf>
    <xf numFmtId="167" fontId="18" fillId="2" borderId="0" xfId="0" applyNumberFormat="1" applyFont="1" applyFill="1"/>
    <xf numFmtId="0" fontId="11" fillId="2" borderId="0" xfId="0" applyFont="1" applyFill="1"/>
    <xf numFmtId="0" fontId="12" fillId="2" borderId="1" xfId="0" applyFont="1" applyFill="1" applyBorder="1" applyAlignment="1">
      <alignment wrapText="1"/>
    </xf>
    <xf numFmtId="164" fontId="8" fillId="2" borderId="1" xfId="3" applyNumberFormat="1" applyFont="1" applyFill="1" applyBorder="1" applyAlignment="1">
      <alignment horizontal="center"/>
    </xf>
    <xf numFmtId="164" fontId="11" fillId="2" borderId="0" xfId="0" applyNumberFormat="1" applyFont="1" applyFill="1"/>
    <xf numFmtId="0" fontId="25" fillId="2" borderId="0" xfId="0" applyFont="1" applyFill="1"/>
    <xf numFmtId="164" fontId="18" fillId="2" borderId="0" xfId="0" applyNumberFormat="1" applyFont="1" applyFill="1"/>
    <xf numFmtId="0" fontId="22" fillId="2" borderId="0" xfId="0" applyFont="1" applyFill="1" applyAlignment="1">
      <alignment wrapText="1"/>
    </xf>
    <xf numFmtId="165" fontId="8" fillId="2" borderId="1" xfId="3" applyNumberFormat="1" applyFont="1" applyFill="1" applyBorder="1" applyAlignment="1">
      <alignment horizontal="center"/>
    </xf>
    <xf numFmtId="164" fontId="12" fillId="2" borderId="1" xfId="3" applyNumberFormat="1" applyFont="1" applyFill="1" applyBorder="1" applyAlignment="1">
      <alignment horizontal="center"/>
    </xf>
    <xf numFmtId="0" fontId="22" fillId="2" borderId="1" xfId="0" applyFont="1" applyFill="1" applyBorder="1" applyAlignment="1">
      <alignment wrapText="1"/>
    </xf>
    <xf numFmtId="164" fontId="10" fillId="2" borderId="1" xfId="3" applyNumberFormat="1" applyFont="1" applyFill="1" applyBorder="1" applyAlignment="1">
      <alignment horizontal="center"/>
    </xf>
    <xf numFmtId="0" fontId="10" fillId="2" borderId="0" xfId="0" applyFont="1" applyFill="1"/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wrapText="1"/>
    </xf>
    <xf numFmtId="165" fontId="10" fillId="2" borderId="0" xfId="0" applyNumberFormat="1" applyFont="1" applyFill="1"/>
    <xf numFmtId="0" fontId="3" fillId="2" borderId="1" xfId="0" applyFont="1" applyFill="1" applyBorder="1" applyAlignment="1">
      <alignment wrapText="1"/>
    </xf>
    <xf numFmtId="165" fontId="18" fillId="2" borderId="0" xfId="0" applyNumberFormat="1" applyFont="1" applyFill="1"/>
    <xf numFmtId="166" fontId="3" fillId="2" borderId="1" xfId="0" applyNumberFormat="1" applyFont="1" applyFill="1" applyBorder="1" applyAlignment="1">
      <alignment horizontal="center"/>
    </xf>
    <xf numFmtId="0" fontId="24" fillId="2" borderId="0" xfId="0" applyFont="1" applyFill="1" applyAlignment="1">
      <alignment wrapText="1"/>
    </xf>
    <xf numFmtId="0" fontId="18" fillId="2" borderId="0" xfId="0" applyFont="1" applyFill="1" applyAlignment="1"/>
    <xf numFmtId="0" fontId="23" fillId="2" borderId="1" xfId="0" applyFont="1" applyFill="1" applyBorder="1" applyAlignment="1">
      <alignment wrapText="1"/>
    </xf>
    <xf numFmtId="0" fontId="8" fillId="2" borderId="0" xfId="0" applyFont="1" applyFill="1" applyAlignment="1">
      <alignment horizontal="left" wrapText="1"/>
    </xf>
    <xf numFmtId="0" fontId="3" fillId="2" borderId="0" xfId="0" applyFont="1" applyFill="1"/>
    <xf numFmtId="0" fontId="8" fillId="2" borderId="0" xfId="0" applyFont="1" applyFill="1" applyAlignment="1">
      <alignment horizontal="left"/>
    </xf>
    <xf numFmtId="0" fontId="11" fillId="2" borderId="0" xfId="0" applyFont="1" applyFill="1" applyAlignment="1">
      <alignment wrapText="1"/>
    </xf>
    <xf numFmtId="165" fontId="11" fillId="2" borderId="0" xfId="0" applyNumberFormat="1" applyFont="1" applyFill="1"/>
    <xf numFmtId="0" fontId="24" fillId="2" borderId="1" xfId="0" applyFont="1" applyFill="1" applyBorder="1" applyAlignment="1">
      <alignment wrapText="1"/>
    </xf>
    <xf numFmtId="164" fontId="12" fillId="2" borderId="1" xfId="0" applyNumberFormat="1" applyFont="1" applyFill="1" applyBorder="1" applyAlignment="1">
      <alignment horizontal="center"/>
    </xf>
    <xf numFmtId="165" fontId="12" fillId="2" borderId="1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/>
    </xf>
    <xf numFmtId="0" fontId="10" fillId="2" borderId="0" xfId="0" applyFont="1" applyFill="1" applyAlignment="1"/>
    <xf numFmtId="164" fontId="10" fillId="2" borderId="0" xfId="0" applyNumberFormat="1" applyFont="1" applyFill="1" applyAlignment="1"/>
    <xf numFmtId="0" fontId="22" fillId="2" borderId="0" xfId="0" applyFont="1" applyFill="1" applyAlignment="1"/>
    <xf numFmtId="0" fontId="20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23" fillId="2" borderId="0" xfId="0" applyFont="1" applyFill="1" applyAlignment="1"/>
    <xf numFmtId="0" fontId="3" fillId="2" borderId="1" xfId="3" applyFont="1" applyFill="1" applyBorder="1" applyAlignment="1">
      <alignment wrapText="1"/>
    </xf>
    <xf numFmtId="0" fontId="3" fillId="2" borderId="1" xfId="1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3" fillId="2" borderId="1" xfId="1" applyFont="1" applyFill="1" applyBorder="1" applyAlignment="1">
      <alignment horizontal="left" wrapText="1"/>
    </xf>
    <xf numFmtId="0" fontId="8" fillId="2" borderId="1" xfId="3" applyFont="1" applyFill="1" applyBorder="1" applyAlignment="1">
      <alignment wrapText="1"/>
    </xf>
    <xf numFmtId="0" fontId="9" fillId="2" borderId="1" xfId="2" applyFont="1" applyFill="1" applyBorder="1" applyAlignment="1">
      <alignment wrapText="1"/>
    </xf>
    <xf numFmtId="0" fontId="8" fillId="2" borderId="1" xfId="2" applyFont="1" applyFill="1" applyBorder="1" applyAlignment="1">
      <alignment wrapText="1"/>
    </xf>
    <xf numFmtId="0" fontId="3" fillId="2" borderId="1" xfId="2" applyFont="1" applyFill="1" applyBorder="1" applyAlignment="1">
      <alignment wrapText="1"/>
    </xf>
    <xf numFmtId="0" fontId="9" fillId="2" borderId="1" xfId="3" applyFont="1" applyFill="1" applyBorder="1" applyAlignment="1">
      <alignment wrapText="1"/>
    </xf>
    <xf numFmtId="164" fontId="10" fillId="2" borderId="1" xfId="0" applyNumberFormat="1" applyFont="1" applyFill="1" applyBorder="1" applyAlignment="1">
      <alignment horizontal="center"/>
    </xf>
    <xf numFmtId="165" fontId="10" fillId="2" borderId="1" xfId="0" applyNumberFormat="1" applyFont="1" applyFill="1" applyBorder="1" applyAlignment="1">
      <alignment horizontal="center"/>
    </xf>
    <xf numFmtId="0" fontId="10" fillId="2" borderId="1" xfId="3" applyFont="1" applyFill="1" applyBorder="1" applyAlignment="1">
      <alignment wrapText="1"/>
    </xf>
    <xf numFmtId="165" fontId="10" fillId="2" borderId="1" xfId="3" applyNumberFormat="1" applyFont="1" applyFill="1" applyBorder="1" applyAlignment="1">
      <alignment horizontal="center"/>
    </xf>
    <xf numFmtId="164" fontId="13" fillId="2" borderId="1" xfId="3" applyNumberFormat="1" applyFont="1" applyFill="1" applyBorder="1" applyAlignment="1">
      <alignment horizontal="center"/>
    </xf>
    <xf numFmtId="0" fontId="12" fillId="2" borderId="0" xfId="0" applyFont="1" applyFill="1"/>
    <xf numFmtId="165" fontId="12" fillId="2" borderId="1" xfId="3" applyNumberFormat="1" applyFont="1" applyFill="1" applyBorder="1" applyAlignment="1">
      <alignment horizontal="center"/>
    </xf>
    <xf numFmtId="49" fontId="28" fillId="2" borderId="1" xfId="0" applyNumberFormat="1" applyFont="1" applyFill="1" applyBorder="1" applyAlignment="1">
      <alignment horizontal="center"/>
    </xf>
    <xf numFmtId="0" fontId="28" fillId="2" borderId="1" xfId="2" applyFont="1" applyFill="1" applyBorder="1" applyAlignment="1">
      <alignment wrapText="1"/>
    </xf>
    <xf numFmtId="49" fontId="29" fillId="2" borderId="1" xfId="0" applyNumberFormat="1" applyFont="1" applyFill="1" applyBorder="1" applyAlignment="1">
      <alignment horizontal="center"/>
    </xf>
    <xf numFmtId="0" fontId="30" fillId="2" borderId="1" xfId="0" applyFont="1" applyFill="1" applyBorder="1" applyAlignment="1">
      <alignment wrapText="1"/>
    </xf>
    <xf numFmtId="164" fontId="29" fillId="2" borderId="1" xfId="3" applyNumberFormat="1" applyFont="1" applyFill="1" applyBorder="1" applyAlignment="1">
      <alignment horizontal="center"/>
    </xf>
    <xf numFmtId="164" fontId="27" fillId="2" borderId="1" xfId="3" applyNumberFormat="1" applyFont="1" applyFill="1" applyBorder="1" applyAlignment="1">
      <alignment horizontal="center"/>
    </xf>
    <xf numFmtId="0" fontId="9" fillId="2" borderId="1" xfId="1" applyFont="1" applyFill="1" applyBorder="1" applyAlignment="1">
      <alignment wrapText="1"/>
    </xf>
    <xf numFmtId="49" fontId="26" fillId="2" borderId="1" xfId="0" applyNumberFormat="1" applyFont="1" applyFill="1" applyBorder="1" applyAlignment="1">
      <alignment horizontal="center"/>
    </xf>
    <xf numFmtId="164" fontId="26" fillId="2" borderId="1" xfId="0" applyNumberFormat="1" applyFont="1" applyFill="1" applyBorder="1" applyAlignment="1">
      <alignment horizontal="center"/>
    </xf>
    <xf numFmtId="165" fontId="26" fillId="2" borderId="1" xfId="0" applyNumberFormat="1" applyFont="1" applyFill="1" applyBorder="1" applyAlignment="1">
      <alignment horizontal="center"/>
    </xf>
    <xf numFmtId="0" fontId="0" fillId="2" borderId="0" xfId="0" applyFont="1" applyFill="1"/>
    <xf numFmtId="164" fontId="27" fillId="2" borderId="1" xfId="0" applyNumberFormat="1" applyFont="1" applyFill="1" applyBorder="1" applyAlignment="1">
      <alignment horizontal="center"/>
    </xf>
    <xf numFmtId="165" fontId="27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/>
    </xf>
    <xf numFmtId="0" fontId="18" fillId="2" borderId="1" xfId="0" applyFont="1" applyFill="1" applyBorder="1" applyAlignment="1">
      <alignment horizontal="center" vertical="center" wrapText="1"/>
    </xf>
    <xf numFmtId="165" fontId="13" fillId="2" borderId="1" xfId="3" applyNumberFormat="1" applyFont="1" applyFill="1" applyBorder="1" applyAlignment="1">
      <alignment horizontal="center"/>
    </xf>
    <xf numFmtId="165" fontId="13" fillId="2" borderId="1" xfId="0" applyNumberFormat="1" applyFont="1" applyFill="1" applyBorder="1" applyAlignment="1">
      <alignment horizontal="center"/>
    </xf>
    <xf numFmtId="165" fontId="28" fillId="2" borderId="1" xfId="0" applyNumberFormat="1" applyFont="1" applyFill="1" applyBorder="1" applyAlignment="1">
      <alignment horizontal="center"/>
    </xf>
    <xf numFmtId="165" fontId="30" fillId="2" borderId="1" xfId="3" applyNumberFormat="1" applyFont="1" applyFill="1" applyBorder="1" applyAlignment="1">
      <alignment horizontal="center"/>
    </xf>
    <xf numFmtId="165" fontId="28" fillId="2" borderId="1" xfId="3" applyNumberFormat="1" applyFont="1" applyFill="1" applyBorder="1" applyAlignment="1">
      <alignment horizontal="center"/>
    </xf>
    <xf numFmtId="165" fontId="22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31" fillId="2" borderId="0" xfId="0" applyFont="1" applyFill="1" applyAlignment="1">
      <alignment horizontal="center"/>
    </xf>
    <xf numFmtId="0" fontId="26" fillId="2" borderId="0" xfId="0" applyFont="1" applyFill="1"/>
    <xf numFmtId="0" fontId="3" fillId="2" borderId="0" xfId="0" applyFont="1" applyFill="1" applyAlignment="1">
      <alignment horizontal="right"/>
    </xf>
    <xf numFmtId="167" fontId="3" fillId="2" borderId="0" xfId="0" applyNumberFormat="1" applyFont="1" applyFill="1"/>
    <xf numFmtId="0" fontId="3" fillId="2" borderId="0" xfId="0" applyFont="1" applyFill="1" applyAlignment="1"/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27" fillId="2" borderId="0" xfId="0" applyFont="1" applyFill="1"/>
    <xf numFmtId="165" fontId="3" fillId="2" borderId="0" xfId="0" applyNumberFormat="1" applyFont="1" applyFill="1"/>
    <xf numFmtId="0" fontId="3" fillId="2" borderId="0" xfId="0" applyFont="1" applyFill="1" applyAlignment="1">
      <alignment vertical="center"/>
    </xf>
    <xf numFmtId="164" fontId="3" fillId="2" borderId="0" xfId="0" applyNumberFormat="1" applyFont="1" applyFill="1"/>
    <xf numFmtId="0" fontId="8" fillId="2" borderId="0" xfId="0" applyFont="1" applyFill="1" applyAlignment="1">
      <alignment wrapText="1"/>
    </xf>
    <xf numFmtId="165" fontId="8" fillId="2" borderId="0" xfId="0" applyNumberFormat="1" applyFont="1" applyFill="1"/>
    <xf numFmtId="0" fontId="31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/>
    </xf>
    <xf numFmtId="0" fontId="18" fillId="2" borderId="1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49" fontId="34" fillId="2" borderId="1" xfId="0" applyNumberFormat="1" applyFont="1" applyFill="1" applyBorder="1" applyAlignment="1">
      <alignment horizontal="center"/>
    </xf>
    <xf numFmtId="164" fontId="34" fillId="2" borderId="1" xfId="0" applyNumberFormat="1" applyFont="1" applyFill="1" applyBorder="1" applyAlignment="1">
      <alignment horizontal="center"/>
    </xf>
    <xf numFmtId="165" fontId="34" fillId="2" borderId="1" xfId="0" applyNumberFormat="1" applyFont="1" applyFill="1" applyBorder="1" applyAlignment="1">
      <alignment horizontal="center"/>
    </xf>
    <xf numFmtId="0" fontId="3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wrapText="1"/>
    </xf>
    <xf numFmtId="165" fontId="12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left" vertical="top" wrapText="1"/>
    </xf>
    <xf numFmtId="0" fontId="31" fillId="2" borderId="0" xfId="0" applyFont="1" applyFill="1" applyAlignment="1">
      <alignment horizontal="left"/>
    </xf>
    <xf numFmtId="0" fontId="31" fillId="2" borderId="0" xfId="0" applyFont="1" applyFill="1" applyAlignment="1"/>
    <xf numFmtId="0" fontId="1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 wrapText="1"/>
    </xf>
    <xf numFmtId="0" fontId="1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left"/>
    </xf>
  </cellXfs>
  <cellStyles count="5">
    <cellStyle name="Обычный" xfId="0" builtinId="0"/>
    <cellStyle name="Обычный 2" xfId="4"/>
    <cellStyle name="Обычный 3" xfId="1"/>
    <cellStyle name="Обычный_дод 2" xfId="2"/>
    <cellStyle name="Обычный_дод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/0-&#1057;&#1090;&#1072;&#1088;&#1099;&#1077;%20&#1076;&#1072;&#1085;&#1085;&#1099;&#1077;/SHARE/&#1041;&#1102;&#1076;&#1078;&#1077;&#1090;%202018/&#1059;&#1058;&#1054;&#1063;&#1053;&#1045;&#1053;&#1053;&#1071;/&#1051;&#1102;&#1090;&#1080;&#1081;/&#1056;&#1110;&#1096;&#1077;&#1085;&#1085;&#1103;%20&#1079;&#1110;%20&#1079;&#1084;&#1110;&#1085;&#1072;&#1084;&#1080;%2016.02.18/&#1044;&#1086;&#1076;.&#8470;%202_&#1079;&#1072;&#1075;&#1072;&#1083;&#1100;&#1085;&#1110;%20&#1074;&#1080;&#1076;&#1072;&#1090;&#1082;&#108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чатковий"/>
      <sheetName val="зміни лютий"/>
      <sheetName val="зі змінами 16.02.18"/>
    </sheetNames>
    <sheetDataSet>
      <sheetData sheetId="0">
        <row r="135">
          <cell r="E135">
            <v>658544.79999999993</v>
          </cell>
          <cell r="F135">
            <v>246322.50000000003</v>
          </cell>
          <cell r="G135">
            <v>26806.400000000009</v>
          </cell>
          <cell r="H135">
            <v>157751.201</v>
          </cell>
          <cell r="I135">
            <v>19090.200999999997</v>
          </cell>
          <cell r="J135">
            <v>233.8</v>
          </cell>
          <cell r="K135">
            <v>0</v>
          </cell>
          <cell r="L135">
            <v>138661</v>
          </cell>
          <cell r="M135">
            <v>138607</v>
          </cell>
          <cell r="N135">
            <v>132607</v>
          </cell>
          <cell r="O135">
            <v>816296.00099999993</v>
          </cell>
        </row>
      </sheetData>
      <sheetData sheetId="1">
        <row r="139">
          <cell r="E139">
            <v>15052.279999999999</v>
          </cell>
          <cell r="F139">
            <v>0</v>
          </cell>
          <cell r="G139">
            <v>0</v>
          </cell>
          <cell r="H139">
            <v>23544.036359999998</v>
          </cell>
          <cell r="I139">
            <v>-50</v>
          </cell>
          <cell r="J139">
            <v>0</v>
          </cell>
          <cell r="K139">
            <v>0</v>
          </cell>
          <cell r="L139">
            <v>23594.036359999998</v>
          </cell>
          <cell r="M139">
            <v>12360.552379999999</v>
          </cell>
          <cell r="N139">
            <v>12360.552379999999</v>
          </cell>
          <cell r="O139">
            <v>38596.316359999997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13" Type="http://schemas.openxmlformats.org/officeDocument/2006/relationships/comments" Target="../comments2.xml"/><Relationship Id="rId3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7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12" Type="http://schemas.openxmlformats.org/officeDocument/2006/relationships/vmlDrawing" Target="../drawings/vmlDrawing2.vml"/><Relationship Id="rId2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1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6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10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4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9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13" Type="http://schemas.openxmlformats.org/officeDocument/2006/relationships/comments" Target="../comments4.xml"/><Relationship Id="rId3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7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12" Type="http://schemas.openxmlformats.org/officeDocument/2006/relationships/vmlDrawing" Target="../drawings/vmlDrawing4.vml"/><Relationship Id="rId2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1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6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10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4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Relationship Id="rId9" Type="http://schemas.openxmlformats.org/officeDocument/2006/relationships/externalLinkPath" Target="/SHARE/0-&#1057;&#1090;&#1072;&#1088;&#1099;&#1077;%20&#1076;&#1072;&#1085;&#1085;&#1099;&#1077;/SHARE/&#1041;&#1102;&#1076;&#1078;&#1077;&#1090;%202017/&#1059;&#1058;&#1054;&#1063;&#1053;&#1045;&#1053;&#1053;&#1071;/&#1063;&#1045;&#1056;&#1042;&#1045;&#1053;&#1068;/&#1091;&#1090;&#1086;&#1095;&#1085;&#1077;&#1085;&#1085;&#1103;_&#1079;&#1072;&#1088;&#1087;&#1083;&#1072;&#1090;&#1072;/&#1044;&#1086;&#1076;.&#8470;%203_2017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6"/>
  <sheetViews>
    <sheetView topLeftCell="A73" workbookViewId="0">
      <selection activeCell="B32" sqref="B32:D33"/>
    </sheetView>
  </sheetViews>
  <sheetFormatPr defaultRowHeight="15"/>
  <cols>
    <col min="1" max="1" width="0.42578125" style="1" customWidth="1"/>
    <col min="2" max="3" width="9.140625" style="3"/>
    <col min="4" max="4" width="48" style="4" customWidth="1"/>
    <col min="5" max="5" width="15.7109375" style="1" customWidth="1"/>
    <col min="6" max="6" width="15.42578125" style="1" customWidth="1"/>
    <col min="7" max="8" width="15.7109375" style="1" customWidth="1"/>
    <col min="9" max="9" width="15.140625" style="1" customWidth="1"/>
    <col min="10" max="10" width="14.85546875" style="1" customWidth="1"/>
    <col min="11" max="11" width="14.140625" style="1" customWidth="1"/>
    <col min="12" max="12" width="18.85546875" style="1" customWidth="1"/>
    <col min="13" max="13" width="17" style="1" customWidth="1"/>
    <col min="14" max="14" width="18.140625" style="1" customWidth="1"/>
    <col min="15" max="15" width="15.140625" style="1" customWidth="1"/>
    <col min="16" max="16" width="5.5703125" style="1" customWidth="1"/>
    <col min="17" max="17" width="13.7109375" style="1" bestFit="1" customWidth="1"/>
    <col min="18" max="16384" width="9.140625" style="1"/>
  </cols>
  <sheetData>
    <row r="1" spans="2:15">
      <c r="L1" s="5" t="s">
        <v>293</v>
      </c>
      <c r="M1" s="5"/>
    </row>
    <row r="2" spans="2:15">
      <c r="L2" s="141" t="s">
        <v>294</v>
      </c>
      <c r="M2" s="141"/>
      <c r="N2" s="141"/>
    </row>
    <row r="3" spans="2:15">
      <c r="L3" s="100" t="s">
        <v>295</v>
      </c>
      <c r="M3" s="6"/>
      <c r="N3" s="7"/>
    </row>
    <row r="4" spans="2:15">
      <c r="L4" s="8"/>
      <c r="M4" s="8"/>
    </row>
    <row r="6" spans="2:15" ht="20.25">
      <c r="B6" s="142" t="s">
        <v>296</v>
      </c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</row>
    <row r="7" spans="2:15" ht="20.25">
      <c r="B7" s="142" t="s">
        <v>297</v>
      </c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</row>
    <row r="8" spans="2:15"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</row>
    <row r="9" spans="2:15">
      <c r="O9" s="9" t="s">
        <v>0</v>
      </c>
    </row>
    <row r="10" spans="2:15">
      <c r="B10" s="144" t="s">
        <v>22</v>
      </c>
      <c r="C10" s="144" t="s">
        <v>23</v>
      </c>
      <c r="D10" s="144" t="s">
        <v>238</v>
      </c>
      <c r="E10" s="144" t="s">
        <v>1</v>
      </c>
      <c r="F10" s="144"/>
      <c r="G10" s="144"/>
      <c r="H10" s="144" t="s">
        <v>5</v>
      </c>
      <c r="I10" s="144"/>
      <c r="J10" s="144"/>
      <c r="K10" s="144"/>
      <c r="L10" s="144"/>
      <c r="M10" s="144"/>
      <c r="N10" s="144"/>
      <c r="O10" s="145" t="s">
        <v>10</v>
      </c>
    </row>
    <row r="11" spans="2:15">
      <c r="B11" s="144"/>
      <c r="C11" s="144"/>
      <c r="D11" s="144"/>
      <c r="E11" s="144" t="s">
        <v>2</v>
      </c>
      <c r="F11" s="144" t="s">
        <v>3</v>
      </c>
      <c r="G11" s="144"/>
      <c r="H11" s="144" t="s">
        <v>2</v>
      </c>
      <c r="I11" s="144" t="s">
        <v>6</v>
      </c>
      <c r="J11" s="144" t="s">
        <v>3</v>
      </c>
      <c r="K11" s="144"/>
      <c r="L11" s="144" t="s">
        <v>7</v>
      </c>
      <c r="M11" s="144" t="s">
        <v>3</v>
      </c>
      <c r="N11" s="144"/>
      <c r="O11" s="145"/>
    </row>
    <row r="12" spans="2:15">
      <c r="B12" s="144"/>
      <c r="C12" s="144"/>
      <c r="D12" s="144"/>
      <c r="E12" s="144"/>
      <c r="F12" s="144" t="s">
        <v>16</v>
      </c>
      <c r="G12" s="144" t="s">
        <v>4</v>
      </c>
      <c r="H12" s="144"/>
      <c r="I12" s="144"/>
      <c r="J12" s="144" t="s">
        <v>16</v>
      </c>
      <c r="K12" s="144" t="s">
        <v>4</v>
      </c>
      <c r="L12" s="144"/>
      <c r="M12" s="144" t="s">
        <v>8</v>
      </c>
      <c r="N12" s="99" t="s">
        <v>3</v>
      </c>
      <c r="O12" s="145"/>
    </row>
    <row r="13" spans="2:15" ht="52.5"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0" t="s">
        <v>9</v>
      </c>
      <c r="O13" s="145"/>
    </row>
    <row r="14" spans="2:15">
      <c r="B14" s="11">
        <v>1</v>
      </c>
      <c r="C14" s="11">
        <v>2</v>
      </c>
      <c r="D14" s="101">
        <v>3</v>
      </c>
      <c r="E14" s="101">
        <v>4</v>
      </c>
      <c r="F14" s="101">
        <v>5</v>
      </c>
      <c r="G14" s="101">
        <v>6</v>
      </c>
      <c r="H14" s="101">
        <v>7</v>
      </c>
      <c r="I14" s="101">
        <v>8</v>
      </c>
      <c r="J14" s="101">
        <v>9</v>
      </c>
      <c r="K14" s="101">
        <v>10</v>
      </c>
      <c r="L14" s="101">
        <v>11</v>
      </c>
      <c r="M14" s="101">
        <v>12</v>
      </c>
      <c r="N14" s="101">
        <v>13</v>
      </c>
      <c r="O14" s="101" t="s">
        <v>24</v>
      </c>
    </row>
    <row r="15" spans="2:15">
      <c r="B15" s="30" t="s">
        <v>25</v>
      </c>
      <c r="C15" s="21"/>
      <c r="D15" s="31" t="s">
        <v>11</v>
      </c>
      <c r="E15" s="12">
        <f>E16+E17+E18+E19</f>
        <v>59517.3</v>
      </c>
      <c r="F15" s="12">
        <f t="shared" ref="F15:G15" si="0">F16+F17+F18+F19</f>
        <v>45269.1</v>
      </c>
      <c r="G15" s="12">
        <f t="shared" si="0"/>
        <v>2463.3999999999996</v>
      </c>
      <c r="H15" s="19">
        <f>I15+L15</f>
        <v>17549</v>
      </c>
      <c r="I15" s="19">
        <f>I16+I17+I18+I19</f>
        <v>165</v>
      </c>
      <c r="J15" s="19"/>
      <c r="K15" s="19"/>
      <c r="L15" s="19">
        <f>L16+L17+L19</f>
        <v>17384</v>
      </c>
      <c r="M15" s="19">
        <f t="shared" ref="M15:N15" si="1">M16+M17+M19</f>
        <v>17384</v>
      </c>
      <c r="N15" s="19">
        <f t="shared" si="1"/>
        <v>17384</v>
      </c>
      <c r="O15" s="12">
        <f>E15+H15</f>
        <v>77066.3</v>
      </c>
    </row>
    <row r="16" spans="2:15" ht="75">
      <c r="B16" s="21" t="s">
        <v>139</v>
      </c>
      <c r="C16" s="21" t="s">
        <v>27</v>
      </c>
      <c r="D16" s="70" t="s">
        <v>138</v>
      </c>
      <c r="E16" s="2">
        <f>25114.2+1532.4+1061.4+1322.4-25</f>
        <v>29005.400000000005</v>
      </c>
      <c r="F16" s="2">
        <f>20424+1165+960+1078</f>
        <v>23627</v>
      </c>
      <c r="G16" s="2">
        <f>2029.7+85.9+32+52.2</f>
        <v>2199.7999999999997</v>
      </c>
      <c r="H16" s="13">
        <f>I16+L16</f>
        <v>2365</v>
      </c>
      <c r="I16" s="13">
        <f>145+10+10</f>
        <v>165</v>
      </c>
      <c r="J16" s="13"/>
      <c r="K16" s="13"/>
      <c r="L16" s="13">
        <f>1180+20+500+500</f>
        <v>2200</v>
      </c>
      <c r="M16" s="13">
        <f>1180+20+500+500</f>
        <v>2200</v>
      </c>
      <c r="N16" s="13">
        <f>1180+20+500+500</f>
        <v>2200</v>
      </c>
      <c r="O16" s="2">
        <f>E16+H16</f>
        <v>31370.400000000005</v>
      </c>
    </row>
    <row r="17" spans="1:15" ht="45">
      <c r="B17" s="21" t="s">
        <v>141</v>
      </c>
      <c r="C17" s="21" t="s">
        <v>27</v>
      </c>
      <c r="D17" s="71" t="s">
        <v>271</v>
      </c>
      <c r="E17" s="2">
        <f>1762.6+1060.3+8717.1+1001.9+468+1513.9+1898.7+1592.8+1824.7+2840.9+55</f>
        <v>22735.9</v>
      </c>
      <c r="F17" s="2">
        <f>1723+1026+8108+980+460+1382+1863+1547+1787+2711.1+55</f>
        <v>21642.1</v>
      </c>
      <c r="G17" s="2">
        <f>21.7+241.9</f>
        <v>263.60000000000002</v>
      </c>
      <c r="H17" s="13">
        <f>I17+L17</f>
        <v>108</v>
      </c>
      <c r="I17" s="13"/>
      <c r="J17" s="13"/>
      <c r="K17" s="13"/>
      <c r="L17" s="13">
        <f>10+36+20+10+12+20</f>
        <v>108</v>
      </c>
      <c r="M17" s="13">
        <v>108</v>
      </c>
      <c r="N17" s="13">
        <v>108</v>
      </c>
      <c r="O17" s="2">
        <f>E17+H17</f>
        <v>22843.9</v>
      </c>
    </row>
    <row r="18" spans="1:15" ht="30">
      <c r="B18" s="21" t="s">
        <v>188</v>
      </c>
      <c r="C18" s="21" t="s">
        <v>189</v>
      </c>
      <c r="D18" s="71" t="s">
        <v>190</v>
      </c>
      <c r="E18" s="2">
        <v>25</v>
      </c>
      <c r="F18" s="2"/>
      <c r="G18" s="2"/>
      <c r="H18" s="13"/>
      <c r="I18" s="13"/>
      <c r="J18" s="13"/>
      <c r="K18" s="13"/>
      <c r="L18" s="13"/>
      <c r="M18" s="13"/>
      <c r="N18" s="13"/>
      <c r="O18" s="2">
        <f t="shared" ref="O18:O96" si="2">E18+H18</f>
        <v>25</v>
      </c>
    </row>
    <row r="19" spans="1:15" ht="15.75">
      <c r="A19" s="1" t="s">
        <v>210</v>
      </c>
      <c r="B19" s="21" t="s">
        <v>26</v>
      </c>
      <c r="C19" s="21" t="s">
        <v>82</v>
      </c>
      <c r="D19" s="66" t="s">
        <v>200</v>
      </c>
      <c r="E19" s="2">
        <f>100.5+1550.5+100+6000</f>
        <v>7751</v>
      </c>
      <c r="F19" s="2"/>
      <c r="G19" s="2"/>
      <c r="H19" s="13">
        <f t="shared" ref="H19" si="3">I19+L19</f>
        <v>15076</v>
      </c>
      <c r="I19" s="13"/>
      <c r="J19" s="13"/>
      <c r="K19" s="13"/>
      <c r="L19" s="13">
        <f>13873+5000-2297-1500</f>
        <v>15076</v>
      </c>
      <c r="M19" s="13">
        <f>13873+5000-2297-1500</f>
        <v>15076</v>
      </c>
      <c r="N19" s="13">
        <f>13873+5000-2297-1500</f>
        <v>15076</v>
      </c>
      <c r="O19" s="2">
        <f t="shared" si="2"/>
        <v>22827</v>
      </c>
    </row>
    <row r="20" spans="1:15">
      <c r="A20" s="32"/>
      <c r="B20" s="30" t="s">
        <v>28</v>
      </c>
      <c r="C20" s="21"/>
      <c r="D20" s="31" t="s">
        <v>12</v>
      </c>
      <c r="E20" s="12">
        <f>E21+E22+E24+E26+E28+E29+E30+E31+E32+E34</f>
        <v>221314</v>
      </c>
      <c r="F20" s="12">
        <f>F21+F22+F24+F26+F28+F29+F30+F31+F32</f>
        <v>180691.80000000002</v>
      </c>
      <c r="G20" s="12">
        <f>G21+G22+G24+G26+G28+G29+G30+G31+G32</f>
        <v>22499.700000000004</v>
      </c>
      <c r="H20" s="19">
        <f>I20+L20</f>
        <v>18035.300999999999</v>
      </c>
      <c r="I20" s="19">
        <f>I21+I22+I24+I26+I28+I30+I31+I29+I32</f>
        <v>10015.300999999999</v>
      </c>
      <c r="J20" s="19">
        <f>J21+J22+J24+J26+J28+J29+J30+J31</f>
        <v>194.8</v>
      </c>
      <c r="K20" s="19">
        <f>K21+K22+K24+K26+K28+K29+K30+K3</f>
        <v>0</v>
      </c>
      <c r="L20" s="19">
        <f>L21+L22+L24+L26+L28+L29+L30+L31</f>
        <v>8020</v>
      </c>
      <c r="M20" s="19">
        <f>M21+M22+M24+M26+M28+M29+M30+M31</f>
        <v>8000</v>
      </c>
      <c r="N20" s="19">
        <f>N21+N22+N24+N26+N28+N29+N30+N31</f>
        <v>8000</v>
      </c>
      <c r="O20" s="12">
        <f>E20+H20</f>
        <v>239349.30100000001</v>
      </c>
    </row>
    <row r="21" spans="1:15" s="52" customFormat="1">
      <c r="B21" s="21" t="s">
        <v>30</v>
      </c>
      <c r="C21" s="21" t="s">
        <v>29</v>
      </c>
      <c r="D21" s="48" t="s">
        <v>162</v>
      </c>
      <c r="E21" s="2">
        <v>75595.600000000006</v>
      </c>
      <c r="F21" s="2">
        <f>44857.2+9868.6</f>
        <v>54725.799999999996</v>
      </c>
      <c r="G21" s="2">
        <v>10509.3</v>
      </c>
      <c r="H21" s="13">
        <f>I21+L21</f>
        <v>12024.9</v>
      </c>
      <c r="I21" s="13">
        <v>8924.9</v>
      </c>
      <c r="J21" s="13"/>
      <c r="K21" s="13"/>
      <c r="L21" s="13">
        <f>2400+700</f>
        <v>3100</v>
      </c>
      <c r="M21" s="13">
        <f>2400+700</f>
        <v>3100</v>
      </c>
      <c r="N21" s="13">
        <f>2400+700</f>
        <v>3100</v>
      </c>
      <c r="O21" s="2">
        <f>E21+H21</f>
        <v>87620.5</v>
      </c>
    </row>
    <row r="22" spans="1:15" ht="75">
      <c r="B22" s="21" t="s">
        <v>31</v>
      </c>
      <c r="C22" s="21" t="s">
        <v>32</v>
      </c>
      <c r="D22" s="71" t="s">
        <v>33</v>
      </c>
      <c r="E22" s="13">
        <v>106993.60000000001</v>
      </c>
      <c r="F22" s="2">
        <f>75279.3+16561.4</f>
        <v>91840.700000000012</v>
      </c>
      <c r="G22" s="2">
        <v>10334.1</v>
      </c>
      <c r="H22" s="13">
        <f>I22+L22</f>
        <v>3925.6</v>
      </c>
      <c r="I22" s="13">
        <v>295.60000000000002</v>
      </c>
      <c r="J22" s="13"/>
      <c r="K22" s="13"/>
      <c r="L22" s="13">
        <f>1630+2000</f>
        <v>3630</v>
      </c>
      <c r="M22" s="13">
        <f>1630+2000</f>
        <v>3630</v>
      </c>
      <c r="N22" s="13">
        <f>1630+2000</f>
        <v>3630</v>
      </c>
      <c r="O22" s="2">
        <f>E22+H22</f>
        <v>110919.20000000001</v>
      </c>
    </row>
    <row r="23" spans="1:15" ht="60">
      <c r="B23" s="21"/>
      <c r="C23" s="21"/>
      <c r="D23" s="72" t="s">
        <v>20</v>
      </c>
      <c r="E23" s="14">
        <f>59854.6+13168</f>
        <v>73022.600000000006</v>
      </c>
      <c r="F23" s="14">
        <f>59854.6+13168</f>
        <v>73022.600000000006</v>
      </c>
      <c r="G23" s="14"/>
      <c r="H23" s="20"/>
      <c r="I23" s="20"/>
      <c r="J23" s="20"/>
      <c r="K23" s="20"/>
      <c r="L23" s="20"/>
      <c r="M23" s="20"/>
      <c r="N23" s="20"/>
      <c r="O23" s="14">
        <f t="shared" si="2"/>
        <v>73022.600000000006</v>
      </c>
    </row>
    <row r="24" spans="1:15" ht="30">
      <c r="B24" s="21" t="s">
        <v>34</v>
      </c>
      <c r="C24" s="21" t="s">
        <v>32</v>
      </c>
      <c r="D24" s="71" t="s">
        <v>35</v>
      </c>
      <c r="E24" s="2">
        <v>761.8</v>
      </c>
      <c r="F24" s="2">
        <f>490.8+202.9</f>
        <v>693.7</v>
      </c>
      <c r="G24" s="2">
        <v>64</v>
      </c>
      <c r="H24" s="13"/>
      <c r="I24" s="13"/>
      <c r="J24" s="13"/>
      <c r="K24" s="13"/>
      <c r="L24" s="13"/>
      <c r="M24" s="13"/>
      <c r="N24" s="13"/>
      <c r="O24" s="2">
        <f t="shared" si="2"/>
        <v>761.8</v>
      </c>
    </row>
    <row r="25" spans="1:15" ht="60">
      <c r="B25" s="21"/>
      <c r="C25" s="21"/>
      <c r="D25" s="72" t="s">
        <v>20</v>
      </c>
      <c r="E25" s="14">
        <f>445.5+98.1</f>
        <v>543.6</v>
      </c>
      <c r="F25" s="14">
        <v>543.6</v>
      </c>
      <c r="G25" s="14"/>
      <c r="H25" s="20"/>
      <c r="I25" s="20"/>
      <c r="J25" s="20"/>
      <c r="K25" s="20"/>
      <c r="L25" s="20"/>
      <c r="M25" s="20"/>
      <c r="N25" s="20"/>
      <c r="O25" s="14">
        <f t="shared" si="2"/>
        <v>543.6</v>
      </c>
    </row>
    <row r="26" spans="1:15" ht="75">
      <c r="B26" s="21" t="s">
        <v>74</v>
      </c>
      <c r="C26" s="21" t="s">
        <v>37</v>
      </c>
      <c r="D26" s="71" t="s">
        <v>122</v>
      </c>
      <c r="E26" s="2">
        <v>8280.4</v>
      </c>
      <c r="F26" s="2">
        <f>5752.3+1265.5</f>
        <v>7017.8</v>
      </c>
      <c r="G26" s="2">
        <v>624.20000000000005</v>
      </c>
      <c r="H26" s="13">
        <f>I26+L26</f>
        <v>300</v>
      </c>
      <c r="I26" s="13"/>
      <c r="J26" s="13"/>
      <c r="K26" s="13"/>
      <c r="L26" s="13">
        <v>300</v>
      </c>
      <c r="M26" s="13">
        <v>300</v>
      </c>
      <c r="N26" s="13">
        <v>300</v>
      </c>
      <c r="O26" s="2">
        <f t="shared" si="2"/>
        <v>8580.4</v>
      </c>
    </row>
    <row r="27" spans="1:15" ht="60">
      <c r="B27" s="21"/>
      <c r="C27" s="21"/>
      <c r="D27" s="72" t="s">
        <v>20</v>
      </c>
      <c r="E27" s="14">
        <f>4920.1+1082.4</f>
        <v>6002.5</v>
      </c>
      <c r="F27" s="14">
        <v>6002.5</v>
      </c>
      <c r="G27" s="2"/>
      <c r="H27" s="13"/>
      <c r="I27" s="13"/>
      <c r="J27" s="13"/>
      <c r="K27" s="13"/>
      <c r="L27" s="13"/>
      <c r="M27" s="13"/>
      <c r="N27" s="13"/>
      <c r="O27" s="14">
        <f t="shared" si="2"/>
        <v>6002.5</v>
      </c>
    </row>
    <row r="28" spans="1:15" ht="45">
      <c r="B28" s="21" t="s">
        <v>38</v>
      </c>
      <c r="C28" s="21" t="s">
        <v>39</v>
      </c>
      <c r="D28" s="71" t="s">
        <v>40</v>
      </c>
      <c r="E28" s="2">
        <v>11228</v>
      </c>
      <c r="F28" s="2">
        <f>7712.8+1696.8</f>
        <v>9409.6</v>
      </c>
      <c r="G28" s="2">
        <v>377.7</v>
      </c>
      <c r="H28" s="13">
        <f>I28+L28</f>
        <v>1155.8</v>
      </c>
      <c r="I28" s="13">
        <v>165.8</v>
      </c>
      <c r="J28" s="13"/>
      <c r="K28" s="13"/>
      <c r="L28" s="13">
        <f>20+970</f>
        <v>990</v>
      </c>
      <c r="M28" s="13">
        <v>970</v>
      </c>
      <c r="N28" s="13">
        <v>970</v>
      </c>
      <c r="O28" s="2">
        <f t="shared" si="2"/>
        <v>12383.8</v>
      </c>
    </row>
    <row r="29" spans="1:15" ht="60">
      <c r="B29" s="21" t="s">
        <v>145</v>
      </c>
      <c r="C29" s="21" t="s">
        <v>39</v>
      </c>
      <c r="D29" s="71" t="s">
        <v>146</v>
      </c>
      <c r="E29" s="2">
        <v>11629</v>
      </c>
      <c r="F29" s="2">
        <f>9288.6+2043.5</f>
        <v>11332.1</v>
      </c>
      <c r="G29" s="2">
        <v>282.5</v>
      </c>
      <c r="H29" s="13">
        <f>I29+L29</f>
        <v>629</v>
      </c>
      <c r="I29" s="13">
        <v>629</v>
      </c>
      <c r="J29" s="13">
        <v>194.8</v>
      </c>
      <c r="K29" s="13"/>
      <c r="L29" s="13"/>
      <c r="M29" s="13"/>
      <c r="N29" s="13"/>
      <c r="O29" s="2">
        <f t="shared" si="2"/>
        <v>12258</v>
      </c>
    </row>
    <row r="30" spans="1:15" ht="30">
      <c r="B30" s="21" t="s">
        <v>142</v>
      </c>
      <c r="C30" s="21" t="s">
        <v>42</v>
      </c>
      <c r="D30" s="48" t="s">
        <v>272</v>
      </c>
      <c r="E30" s="2">
        <v>180.5</v>
      </c>
      <c r="F30" s="2"/>
      <c r="G30" s="2"/>
      <c r="H30" s="13"/>
      <c r="I30" s="13"/>
      <c r="J30" s="13"/>
      <c r="K30" s="13"/>
      <c r="L30" s="13"/>
      <c r="M30" s="13"/>
      <c r="N30" s="13"/>
      <c r="O30" s="2">
        <f t="shared" si="2"/>
        <v>180.5</v>
      </c>
    </row>
    <row r="31" spans="1:15" ht="30">
      <c r="B31" s="21" t="s">
        <v>41</v>
      </c>
      <c r="C31" s="21" t="s">
        <v>43</v>
      </c>
      <c r="D31" s="73" t="s">
        <v>273</v>
      </c>
      <c r="E31" s="2">
        <f>1827.8-315.1</f>
        <v>1512.6999999999998</v>
      </c>
      <c r="F31" s="2">
        <f>1358.3+298.8-315.1</f>
        <v>1342</v>
      </c>
      <c r="G31" s="2">
        <v>26.2</v>
      </c>
      <c r="H31" s="13"/>
      <c r="I31" s="13"/>
      <c r="J31" s="13"/>
      <c r="K31" s="13"/>
      <c r="L31" s="13"/>
      <c r="M31" s="13"/>
      <c r="N31" s="13"/>
      <c r="O31" s="2">
        <f t="shared" si="2"/>
        <v>1512.6999999999998</v>
      </c>
    </row>
    <row r="32" spans="1:15">
      <c r="B32" s="21" t="s">
        <v>143</v>
      </c>
      <c r="C32" s="21"/>
      <c r="D32" s="71" t="s">
        <v>144</v>
      </c>
      <c r="E32" s="2">
        <f>878+2313.9+1584.5+315.1</f>
        <v>5091.5</v>
      </c>
      <c r="F32" s="2">
        <f>714.8+157.3+1763.4+388+812.7+178.8+315.1</f>
        <v>4330.1000000000004</v>
      </c>
      <c r="G32" s="2">
        <f>46.6+235.1</f>
        <v>281.7</v>
      </c>
      <c r="H32" s="13">
        <f t="shared" ref="H32:H35" si="4">I32+L32</f>
        <v>1E-3</v>
      </c>
      <c r="I32" s="13">
        <v>1E-3</v>
      </c>
      <c r="J32" s="13"/>
      <c r="K32" s="13"/>
      <c r="L32" s="13"/>
      <c r="M32" s="13"/>
      <c r="N32" s="13"/>
      <c r="O32" s="2">
        <f t="shared" si="2"/>
        <v>5091.5010000000002</v>
      </c>
    </row>
    <row r="33" spans="2:17" s="26" customFormat="1" ht="33" customHeight="1">
      <c r="B33" s="18" t="s">
        <v>246</v>
      </c>
      <c r="C33" s="18" t="s">
        <v>43</v>
      </c>
      <c r="D33" s="92" t="s">
        <v>247</v>
      </c>
      <c r="E33" s="14">
        <v>5091.5</v>
      </c>
      <c r="F33" s="14">
        <v>4330.1000000000004</v>
      </c>
      <c r="G33" s="14">
        <v>281.7</v>
      </c>
      <c r="H33" s="13">
        <f t="shared" si="4"/>
        <v>1E-3</v>
      </c>
      <c r="I33" s="20">
        <v>1E-3</v>
      </c>
      <c r="J33" s="20"/>
      <c r="K33" s="20"/>
      <c r="L33" s="20"/>
      <c r="M33" s="20"/>
      <c r="N33" s="20"/>
      <c r="O33" s="14">
        <f t="shared" si="2"/>
        <v>5091.5010000000002</v>
      </c>
    </row>
    <row r="34" spans="2:17" ht="28.5" customHeight="1">
      <c r="B34" s="21" t="s">
        <v>279</v>
      </c>
      <c r="C34" s="21" t="s">
        <v>43</v>
      </c>
      <c r="D34" s="71" t="s">
        <v>280</v>
      </c>
      <c r="E34" s="2">
        <v>40.9</v>
      </c>
      <c r="F34" s="2"/>
      <c r="G34" s="2"/>
      <c r="H34" s="13">
        <f t="shared" si="4"/>
        <v>0</v>
      </c>
      <c r="I34" s="13"/>
      <c r="J34" s="13"/>
      <c r="K34" s="13"/>
      <c r="L34" s="13"/>
      <c r="M34" s="13"/>
      <c r="N34" s="13"/>
      <c r="O34" s="2">
        <f t="shared" si="2"/>
        <v>40.9</v>
      </c>
    </row>
    <row r="35" spans="2:17" s="33" customFormat="1">
      <c r="B35" s="30" t="s">
        <v>44</v>
      </c>
      <c r="C35" s="30"/>
      <c r="D35" s="74" t="s">
        <v>21</v>
      </c>
      <c r="E35" s="12">
        <f>E36+E37+E38</f>
        <v>93695.8</v>
      </c>
      <c r="F35" s="12"/>
      <c r="G35" s="12"/>
      <c r="H35" s="19">
        <f t="shared" si="4"/>
        <v>15644.6</v>
      </c>
      <c r="I35" s="19">
        <f t="shared" ref="I35:N35" si="5">I36+I37</f>
        <v>8104.6</v>
      </c>
      <c r="J35" s="19">
        <f t="shared" si="5"/>
        <v>0</v>
      </c>
      <c r="K35" s="19">
        <f t="shared" si="5"/>
        <v>0</v>
      </c>
      <c r="L35" s="19">
        <f>L36+L37</f>
        <v>7540</v>
      </c>
      <c r="M35" s="19">
        <f t="shared" si="5"/>
        <v>7520</v>
      </c>
      <c r="N35" s="19">
        <f t="shared" si="5"/>
        <v>7520</v>
      </c>
      <c r="O35" s="35">
        <f t="shared" si="2"/>
        <v>109340.40000000001</v>
      </c>
    </row>
    <row r="36" spans="2:17" ht="34.5" customHeight="1">
      <c r="B36" s="21" t="s">
        <v>45</v>
      </c>
      <c r="C36" s="21" t="s">
        <v>46</v>
      </c>
      <c r="D36" s="15" t="s">
        <v>47</v>
      </c>
      <c r="E36" s="29">
        <v>80731.600000000006</v>
      </c>
      <c r="F36" s="29"/>
      <c r="G36" s="29"/>
      <c r="H36" s="28">
        <f>I36+L36</f>
        <v>11365.6</v>
      </c>
      <c r="I36" s="28">
        <v>4345.6000000000004</v>
      </c>
      <c r="J36" s="28"/>
      <c r="K36" s="28"/>
      <c r="L36" s="28">
        <f>20+5000+1500+500</f>
        <v>7020</v>
      </c>
      <c r="M36" s="28">
        <f>5000+1500+500</f>
        <v>7000</v>
      </c>
      <c r="N36" s="28">
        <f>5000+1500+500</f>
        <v>7000</v>
      </c>
      <c r="O36" s="29">
        <f t="shared" si="2"/>
        <v>92097.200000000012</v>
      </c>
    </row>
    <row r="37" spans="2:17" ht="19.5" customHeight="1">
      <c r="B37" s="21" t="s">
        <v>140</v>
      </c>
      <c r="C37" s="21" t="s">
        <v>48</v>
      </c>
      <c r="D37" s="15" t="s">
        <v>274</v>
      </c>
      <c r="E37" s="29">
        <v>9640.7000000000007</v>
      </c>
      <c r="F37" s="29"/>
      <c r="G37" s="29"/>
      <c r="H37" s="28">
        <f>I37+L37</f>
        <v>4279</v>
      </c>
      <c r="I37" s="28">
        <v>3759</v>
      </c>
      <c r="J37" s="28"/>
      <c r="K37" s="28"/>
      <c r="L37" s="28">
        <v>520</v>
      </c>
      <c r="M37" s="28">
        <v>520</v>
      </c>
      <c r="N37" s="28">
        <v>520</v>
      </c>
      <c r="O37" s="29">
        <f t="shared" si="2"/>
        <v>13919.7</v>
      </c>
    </row>
    <row r="38" spans="2:17" ht="31.5" customHeight="1">
      <c r="B38" s="21" t="s">
        <v>232</v>
      </c>
      <c r="C38" s="21"/>
      <c r="D38" s="39" t="s">
        <v>231</v>
      </c>
      <c r="E38" s="29">
        <f>E39+E40</f>
        <v>3323.5</v>
      </c>
      <c r="F38" s="29"/>
      <c r="G38" s="29"/>
      <c r="H38" s="28"/>
      <c r="I38" s="28"/>
      <c r="J38" s="28"/>
      <c r="K38" s="28"/>
      <c r="L38" s="28"/>
      <c r="M38" s="28"/>
      <c r="N38" s="28"/>
      <c r="O38" s="29">
        <f>E38+H38</f>
        <v>3323.5</v>
      </c>
    </row>
    <row r="39" spans="2:17" s="26" customFormat="1" ht="33" customHeight="1">
      <c r="B39" s="18" t="s">
        <v>235</v>
      </c>
      <c r="C39" s="18" t="s">
        <v>237</v>
      </c>
      <c r="D39" s="17" t="s">
        <v>233</v>
      </c>
      <c r="E39" s="24">
        <v>1676.2</v>
      </c>
      <c r="F39" s="24"/>
      <c r="G39" s="24"/>
      <c r="H39" s="25"/>
      <c r="I39" s="25"/>
      <c r="J39" s="25"/>
      <c r="K39" s="25"/>
      <c r="L39" s="25"/>
      <c r="M39" s="25"/>
      <c r="N39" s="25"/>
      <c r="O39" s="24">
        <f>E39+H39</f>
        <v>1676.2</v>
      </c>
    </row>
    <row r="40" spans="2:17" s="26" customFormat="1" ht="33.75" customHeight="1">
      <c r="B40" s="18" t="s">
        <v>236</v>
      </c>
      <c r="C40" s="18" t="s">
        <v>237</v>
      </c>
      <c r="D40" s="17" t="s">
        <v>234</v>
      </c>
      <c r="E40" s="24">
        <v>1647.3</v>
      </c>
      <c r="F40" s="24"/>
      <c r="G40" s="24"/>
      <c r="H40" s="25"/>
      <c r="I40" s="25"/>
      <c r="J40" s="25"/>
      <c r="K40" s="25"/>
      <c r="L40" s="25"/>
      <c r="M40" s="25"/>
      <c r="N40" s="25"/>
      <c r="O40" s="24">
        <f>E40+H40</f>
        <v>1647.3</v>
      </c>
    </row>
    <row r="41" spans="2:17" s="64" customFormat="1" ht="32.25" customHeight="1">
      <c r="B41" s="62" t="s">
        <v>49</v>
      </c>
      <c r="C41" s="63"/>
      <c r="D41" s="34" t="s">
        <v>13</v>
      </c>
      <c r="E41" s="60">
        <f>E42+E45+E48+E51+E59+E63+E65+E67+E70+E72+E73+E74+E75+E78+E79+E77</f>
        <v>144646.90000000002</v>
      </c>
      <c r="F41" s="60">
        <f>F42+F45+F48+F51+F62+F63+F65+F67+F70+F72+F73+F74+F75+F78+F79+F77</f>
        <v>6621.1</v>
      </c>
      <c r="G41" s="60">
        <f>G42+G45+G48+G51+G62+G63+G65+G67+G70+G72+G73+G74+G75+G78+G79+G77</f>
        <v>161.69999999999999</v>
      </c>
      <c r="H41" s="61">
        <f>L41+I41</f>
        <v>14</v>
      </c>
      <c r="I41" s="60">
        <f t="shared" ref="I41:N41" si="6">I42+I45+I48+I51+I62+I63+I65+I67+I70+I72+I73+I74+I75+I78+I79+I77</f>
        <v>0</v>
      </c>
      <c r="J41" s="60">
        <f t="shared" si="6"/>
        <v>0</v>
      </c>
      <c r="K41" s="60">
        <f t="shared" si="6"/>
        <v>0</v>
      </c>
      <c r="L41" s="60">
        <f t="shared" si="6"/>
        <v>14</v>
      </c>
      <c r="M41" s="60">
        <f t="shared" si="6"/>
        <v>0</v>
      </c>
      <c r="N41" s="60">
        <f t="shared" si="6"/>
        <v>0</v>
      </c>
      <c r="O41" s="41">
        <f t="shared" si="2"/>
        <v>144660.90000000002</v>
      </c>
      <c r="Q41" s="65"/>
    </row>
    <row r="42" spans="2:17" s="33" customFormat="1" ht="94.5" customHeight="1">
      <c r="B42" s="30" t="s">
        <v>50</v>
      </c>
      <c r="C42" s="30"/>
      <c r="D42" s="34" t="s">
        <v>51</v>
      </c>
      <c r="E42" s="12">
        <f>E43+E44</f>
        <v>37437.699999999997</v>
      </c>
      <c r="F42" s="12">
        <f t="shared" ref="F42:N44" si="7">F43+F44</f>
        <v>0</v>
      </c>
      <c r="G42" s="12">
        <f t="shared" si="7"/>
        <v>0</v>
      </c>
      <c r="H42" s="12">
        <f t="shared" si="7"/>
        <v>0</v>
      </c>
      <c r="I42" s="12">
        <f t="shared" si="7"/>
        <v>0</v>
      </c>
      <c r="J42" s="12">
        <f t="shared" si="7"/>
        <v>0</v>
      </c>
      <c r="K42" s="12">
        <f t="shared" si="7"/>
        <v>0</v>
      </c>
      <c r="L42" s="12">
        <f t="shared" si="7"/>
        <v>0</v>
      </c>
      <c r="M42" s="12">
        <f t="shared" si="7"/>
        <v>0</v>
      </c>
      <c r="N42" s="12">
        <f t="shared" si="7"/>
        <v>0</v>
      </c>
      <c r="O42" s="35">
        <f t="shared" si="2"/>
        <v>37437.699999999997</v>
      </c>
      <c r="Q42" s="36"/>
    </row>
    <row r="43" spans="2:17" ht="63" customHeight="1">
      <c r="B43" s="21" t="s">
        <v>52</v>
      </c>
      <c r="C43" s="21" t="s">
        <v>34</v>
      </c>
      <c r="D43" s="17" t="s">
        <v>176</v>
      </c>
      <c r="E43" s="2">
        <v>8610.7000000000007</v>
      </c>
      <c r="F43" s="2"/>
      <c r="G43" s="2"/>
      <c r="H43" s="12">
        <f t="shared" si="7"/>
        <v>0</v>
      </c>
      <c r="I43" s="13"/>
      <c r="J43" s="13"/>
      <c r="K43" s="13"/>
      <c r="L43" s="12">
        <f t="shared" si="7"/>
        <v>0</v>
      </c>
      <c r="M43" s="13"/>
      <c r="N43" s="13"/>
      <c r="O43" s="29">
        <f t="shared" si="2"/>
        <v>8610.7000000000007</v>
      </c>
    </row>
    <row r="44" spans="2:17" ht="54" customHeight="1">
      <c r="B44" s="21" t="s">
        <v>85</v>
      </c>
      <c r="C44" s="21" t="s">
        <v>36</v>
      </c>
      <c r="D44" s="17" t="s">
        <v>103</v>
      </c>
      <c r="E44" s="13">
        <v>28827</v>
      </c>
      <c r="F44" s="2"/>
      <c r="G44" s="2"/>
      <c r="H44" s="12">
        <f t="shared" si="7"/>
        <v>0</v>
      </c>
      <c r="I44" s="13"/>
      <c r="J44" s="13"/>
      <c r="K44" s="13"/>
      <c r="L44" s="12">
        <f t="shared" si="7"/>
        <v>0</v>
      </c>
      <c r="M44" s="13"/>
      <c r="N44" s="13"/>
      <c r="O44" s="2">
        <f t="shared" si="2"/>
        <v>28827</v>
      </c>
    </row>
    <row r="45" spans="2:17" s="33" customFormat="1" ht="47.25">
      <c r="B45" s="30" t="s">
        <v>53</v>
      </c>
      <c r="C45" s="30"/>
      <c r="D45" s="34" t="s">
        <v>54</v>
      </c>
      <c r="E45" s="12">
        <f>E46+E47</f>
        <v>255</v>
      </c>
      <c r="F45" s="12">
        <f t="shared" ref="F45:N47" si="8">F46+F47</f>
        <v>0</v>
      </c>
      <c r="G45" s="12">
        <f>G46+G47</f>
        <v>0</v>
      </c>
      <c r="H45" s="12">
        <f t="shared" si="8"/>
        <v>0</v>
      </c>
      <c r="I45" s="12">
        <f t="shared" si="8"/>
        <v>0</v>
      </c>
      <c r="J45" s="12">
        <f t="shared" si="8"/>
        <v>0</v>
      </c>
      <c r="K45" s="12">
        <f t="shared" si="8"/>
        <v>0</v>
      </c>
      <c r="L45" s="12">
        <f t="shared" si="8"/>
        <v>0</v>
      </c>
      <c r="M45" s="12">
        <f t="shared" si="8"/>
        <v>0</v>
      </c>
      <c r="N45" s="12">
        <f t="shared" si="8"/>
        <v>0</v>
      </c>
      <c r="O45" s="12">
        <f t="shared" si="2"/>
        <v>255</v>
      </c>
    </row>
    <row r="46" spans="2:17" ht="66" customHeight="1">
      <c r="B46" s="21" t="s">
        <v>55</v>
      </c>
      <c r="C46" s="21" t="s">
        <v>34</v>
      </c>
      <c r="D46" s="17" t="s">
        <v>177</v>
      </c>
      <c r="E46" s="13">
        <v>85</v>
      </c>
      <c r="F46" s="2"/>
      <c r="G46" s="2"/>
      <c r="H46" s="12"/>
      <c r="I46" s="13"/>
      <c r="J46" s="13"/>
      <c r="K46" s="13"/>
      <c r="L46" s="12">
        <f t="shared" si="8"/>
        <v>0</v>
      </c>
      <c r="M46" s="13"/>
      <c r="N46" s="13"/>
      <c r="O46" s="2">
        <f t="shared" si="2"/>
        <v>85</v>
      </c>
    </row>
    <row r="47" spans="2:17" ht="48.75" customHeight="1">
      <c r="B47" s="21" t="s">
        <v>178</v>
      </c>
      <c r="C47" s="21" t="s">
        <v>36</v>
      </c>
      <c r="D47" s="17" t="s">
        <v>104</v>
      </c>
      <c r="E47" s="13">
        <v>170</v>
      </c>
      <c r="F47" s="2"/>
      <c r="G47" s="2"/>
      <c r="H47" s="12"/>
      <c r="I47" s="13"/>
      <c r="J47" s="13"/>
      <c r="K47" s="13"/>
      <c r="L47" s="12">
        <f t="shared" si="8"/>
        <v>0</v>
      </c>
      <c r="M47" s="13"/>
      <c r="N47" s="13"/>
      <c r="O47" s="2">
        <f t="shared" si="2"/>
        <v>170</v>
      </c>
    </row>
    <row r="48" spans="2:17" s="33" customFormat="1" ht="73.5" customHeight="1">
      <c r="B48" s="30" t="s">
        <v>73</v>
      </c>
      <c r="C48" s="30" t="s">
        <v>34</v>
      </c>
      <c r="D48" s="34" t="s">
        <v>179</v>
      </c>
      <c r="E48" s="12">
        <f>E49+E50</f>
        <v>529</v>
      </c>
      <c r="F48" s="12">
        <f t="shared" ref="F48:N48" si="9">F49+F50</f>
        <v>0</v>
      </c>
      <c r="G48" s="12">
        <f t="shared" si="9"/>
        <v>0</v>
      </c>
      <c r="H48" s="12">
        <f>H49+H50</f>
        <v>0</v>
      </c>
      <c r="I48" s="12">
        <f t="shared" si="9"/>
        <v>0</v>
      </c>
      <c r="J48" s="12">
        <f t="shared" si="9"/>
        <v>0</v>
      </c>
      <c r="K48" s="12">
        <f t="shared" si="9"/>
        <v>0</v>
      </c>
      <c r="L48" s="12">
        <f t="shared" si="9"/>
        <v>0</v>
      </c>
      <c r="M48" s="12">
        <f t="shared" si="9"/>
        <v>0</v>
      </c>
      <c r="N48" s="12">
        <f t="shared" si="9"/>
        <v>0</v>
      </c>
      <c r="O48" s="12">
        <f t="shared" si="2"/>
        <v>529</v>
      </c>
    </row>
    <row r="49" spans="2:15" ht="31.5">
      <c r="B49" s="21" t="s">
        <v>84</v>
      </c>
      <c r="C49" s="21" t="s">
        <v>34</v>
      </c>
      <c r="D49" s="17" t="s">
        <v>180</v>
      </c>
      <c r="E49" s="2">
        <v>309</v>
      </c>
      <c r="F49" s="2"/>
      <c r="G49" s="2"/>
      <c r="H49" s="12"/>
      <c r="I49" s="13"/>
      <c r="J49" s="13"/>
      <c r="K49" s="13"/>
      <c r="L49" s="12"/>
      <c r="M49" s="13"/>
      <c r="N49" s="13"/>
      <c r="O49" s="2">
        <f t="shared" si="2"/>
        <v>309</v>
      </c>
    </row>
    <row r="50" spans="2:15" ht="31.5">
      <c r="B50" s="21" t="s">
        <v>181</v>
      </c>
      <c r="C50" s="21" t="s">
        <v>74</v>
      </c>
      <c r="D50" s="17" t="s">
        <v>86</v>
      </c>
      <c r="E50" s="2">
        <v>220</v>
      </c>
      <c r="F50" s="2"/>
      <c r="G50" s="2"/>
      <c r="H50" s="12"/>
      <c r="I50" s="13"/>
      <c r="J50" s="13"/>
      <c r="K50" s="13"/>
      <c r="L50" s="12"/>
      <c r="M50" s="13"/>
      <c r="N50" s="13"/>
      <c r="O50" s="2">
        <f t="shared" si="2"/>
        <v>220</v>
      </c>
    </row>
    <row r="51" spans="2:15" s="33" customFormat="1" ht="47.25">
      <c r="B51" s="30" t="s">
        <v>87</v>
      </c>
      <c r="C51" s="30"/>
      <c r="D51" s="34" t="s">
        <v>256</v>
      </c>
      <c r="E51" s="12">
        <f>E52+E53+E54+E55+E56+E57+E58</f>
        <v>59173.3</v>
      </c>
      <c r="F51" s="12">
        <f t="shared" ref="F51:O51" si="10">F52+F53+F54+F55+F56+F57+F58</f>
        <v>0</v>
      </c>
      <c r="G51" s="12">
        <f t="shared" si="10"/>
        <v>0</v>
      </c>
      <c r="H51" s="12">
        <f t="shared" si="10"/>
        <v>0</v>
      </c>
      <c r="I51" s="12">
        <f t="shared" si="10"/>
        <v>0</v>
      </c>
      <c r="J51" s="12">
        <f t="shared" si="10"/>
        <v>0</v>
      </c>
      <c r="K51" s="12">
        <f t="shared" si="10"/>
        <v>0</v>
      </c>
      <c r="L51" s="12">
        <f t="shared" si="10"/>
        <v>0</v>
      </c>
      <c r="M51" s="12">
        <f t="shared" si="10"/>
        <v>0</v>
      </c>
      <c r="N51" s="12">
        <f t="shared" si="10"/>
        <v>0</v>
      </c>
      <c r="O51" s="12">
        <f t="shared" si="10"/>
        <v>59173.3</v>
      </c>
    </row>
    <row r="52" spans="2:15" s="16" customFormat="1" ht="30">
      <c r="B52" s="18" t="s">
        <v>88</v>
      </c>
      <c r="C52" s="18" t="s">
        <v>89</v>
      </c>
      <c r="D52" s="75" t="s">
        <v>90</v>
      </c>
      <c r="E52" s="14">
        <v>726.6</v>
      </c>
      <c r="F52" s="14"/>
      <c r="G52" s="14"/>
      <c r="H52" s="19"/>
      <c r="I52" s="20"/>
      <c r="J52" s="20"/>
      <c r="K52" s="20"/>
      <c r="L52" s="20"/>
      <c r="M52" s="20"/>
      <c r="N52" s="20"/>
      <c r="O52" s="14">
        <f t="shared" si="2"/>
        <v>726.6</v>
      </c>
    </row>
    <row r="53" spans="2:15" s="16" customFormat="1">
      <c r="B53" s="18" t="s">
        <v>91</v>
      </c>
      <c r="C53" s="18" t="s">
        <v>89</v>
      </c>
      <c r="D53" s="75" t="s">
        <v>101</v>
      </c>
      <c r="E53" s="14">
        <v>181.3</v>
      </c>
      <c r="F53" s="14"/>
      <c r="G53" s="14"/>
      <c r="H53" s="19"/>
      <c r="I53" s="20"/>
      <c r="J53" s="20"/>
      <c r="K53" s="20"/>
      <c r="L53" s="20"/>
      <c r="M53" s="20"/>
      <c r="N53" s="20"/>
      <c r="O53" s="14">
        <f t="shared" si="2"/>
        <v>181.3</v>
      </c>
    </row>
    <row r="54" spans="2:15" s="16" customFormat="1">
      <c r="B54" s="18" t="s">
        <v>92</v>
      </c>
      <c r="C54" s="18" t="s">
        <v>89</v>
      </c>
      <c r="D54" s="75" t="s">
        <v>93</v>
      </c>
      <c r="E54" s="14">
        <f>43161.5-3600</f>
        <v>39561.5</v>
      </c>
      <c r="F54" s="14"/>
      <c r="G54" s="14"/>
      <c r="H54" s="19"/>
      <c r="I54" s="20"/>
      <c r="J54" s="20"/>
      <c r="K54" s="20"/>
      <c r="L54" s="20"/>
      <c r="M54" s="20"/>
      <c r="N54" s="20"/>
      <c r="O54" s="14">
        <f t="shared" si="2"/>
        <v>39561.5</v>
      </c>
    </row>
    <row r="55" spans="2:15" s="16" customFormat="1" ht="30">
      <c r="B55" s="18" t="s">
        <v>94</v>
      </c>
      <c r="C55" s="18" t="s">
        <v>89</v>
      </c>
      <c r="D55" s="75" t="s">
        <v>95</v>
      </c>
      <c r="E55" s="14">
        <v>4537.8</v>
      </c>
      <c r="F55" s="14"/>
      <c r="G55" s="14"/>
      <c r="H55" s="19"/>
      <c r="I55" s="20"/>
      <c r="J55" s="20"/>
      <c r="K55" s="20"/>
      <c r="L55" s="20"/>
      <c r="M55" s="20"/>
      <c r="N55" s="20"/>
      <c r="O55" s="14">
        <f t="shared" si="2"/>
        <v>4537.8</v>
      </c>
    </row>
    <row r="56" spans="2:15" s="16" customFormat="1" ht="30">
      <c r="B56" s="18" t="s">
        <v>96</v>
      </c>
      <c r="C56" s="18" t="s">
        <v>89</v>
      </c>
      <c r="D56" s="75" t="s">
        <v>97</v>
      </c>
      <c r="E56" s="14">
        <v>7502.6</v>
      </c>
      <c r="F56" s="14"/>
      <c r="G56" s="14"/>
      <c r="H56" s="19"/>
      <c r="I56" s="20"/>
      <c r="J56" s="20"/>
      <c r="K56" s="20"/>
      <c r="L56" s="20"/>
      <c r="M56" s="20"/>
      <c r="N56" s="20"/>
      <c r="O56" s="14">
        <f t="shared" si="2"/>
        <v>7502.6</v>
      </c>
    </row>
    <row r="57" spans="2:15" s="16" customFormat="1" ht="30">
      <c r="B57" s="18" t="s">
        <v>98</v>
      </c>
      <c r="C57" s="18" t="s">
        <v>89</v>
      </c>
      <c r="D57" s="75" t="s">
        <v>99</v>
      </c>
      <c r="E57" s="14">
        <v>383.3</v>
      </c>
      <c r="F57" s="14"/>
      <c r="G57" s="14"/>
      <c r="H57" s="19"/>
      <c r="I57" s="20"/>
      <c r="J57" s="20"/>
      <c r="K57" s="20"/>
      <c r="L57" s="20"/>
      <c r="M57" s="20"/>
      <c r="N57" s="20"/>
      <c r="O57" s="14">
        <f t="shared" si="2"/>
        <v>383.3</v>
      </c>
    </row>
    <row r="58" spans="2:15" s="16" customFormat="1" ht="30">
      <c r="B58" s="18" t="s">
        <v>100</v>
      </c>
      <c r="C58" s="18" t="s">
        <v>89</v>
      </c>
      <c r="D58" s="75" t="s">
        <v>102</v>
      </c>
      <c r="E58" s="20">
        <v>6280.2</v>
      </c>
      <c r="F58" s="14"/>
      <c r="G58" s="14"/>
      <c r="H58" s="19"/>
      <c r="I58" s="20"/>
      <c r="J58" s="20"/>
      <c r="K58" s="20"/>
      <c r="L58" s="20"/>
      <c r="M58" s="20"/>
      <c r="N58" s="20"/>
      <c r="O58" s="14">
        <f t="shared" si="2"/>
        <v>6280.2</v>
      </c>
    </row>
    <row r="59" spans="2:15" s="16" customFormat="1" ht="189">
      <c r="B59" s="86" t="s">
        <v>116</v>
      </c>
      <c r="C59" s="86"/>
      <c r="D59" s="87" t="s">
        <v>257</v>
      </c>
      <c r="E59" s="61">
        <f>E60+E62+E61</f>
        <v>13626.699999999999</v>
      </c>
      <c r="F59" s="14"/>
      <c r="G59" s="14"/>
      <c r="H59" s="19"/>
      <c r="I59" s="20"/>
      <c r="J59" s="20"/>
      <c r="K59" s="20"/>
      <c r="L59" s="20"/>
      <c r="M59" s="20"/>
      <c r="N59" s="20"/>
      <c r="O59" s="60">
        <f t="shared" si="2"/>
        <v>13626.699999999999</v>
      </c>
    </row>
    <row r="60" spans="2:15" s="16" customFormat="1" ht="47.25">
      <c r="B60" s="18" t="s">
        <v>258</v>
      </c>
      <c r="C60" s="18" t="s">
        <v>30</v>
      </c>
      <c r="D60" s="17" t="s">
        <v>260</v>
      </c>
      <c r="E60" s="14">
        <v>9025.4</v>
      </c>
      <c r="F60" s="14"/>
      <c r="G60" s="14"/>
      <c r="H60" s="19"/>
      <c r="I60" s="20"/>
      <c r="J60" s="20"/>
      <c r="K60" s="20"/>
      <c r="L60" s="20"/>
      <c r="M60" s="20"/>
      <c r="N60" s="20"/>
      <c r="O60" s="14">
        <f t="shared" si="2"/>
        <v>9025.4</v>
      </c>
    </row>
    <row r="61" spans="2:15" s="16" customFormat="1" ht="63">
      <c r="B61" s="18" t="s">
        <v>282</v>
      </c>
      <c r="C61" s="18" t="s">
        <v>30</v>
      </c>
      <c r="D61" s="17" t="s">
        <v>281</v>
      </c>
      <c r="E61" s="14">
        <v>3600</v>
      </c>
      <c r="F61" s="14"/>
      <c r="G61" s="14"/>
      <c r="H61" s="19"/>
      <c r="I61" s="20"/>
      <c r="J61" s="20"/>
      <c r="K61" s="20"/>
      <c r="L61" s="20"/>
      <c r="M61" s="20"/>
      <c r="N61" s="20"/>
      <c r="O61" s="14">
        <f t="shared" si="2"/>
        <v>3600</v>
      </c>
    </row>
    <row r="62" spans="2:15" s="16" customFormat="1" ht="47.25">
      <c r="B62" s="18" t="s">
        <v>259</v>
      </c>
      <c r="C62" s="18" t="s">
        <v>30</v>
      </c>
      <c r="D62" s="17" t="s">
        <v>261</v>
      </c>
      <c r="E62" s="14">
        <v>1001.3</v>
      </c>
      <c r="F62" s="97"/>
      <c r="G62" s="97"/>
      <c r="H62" s="98"/>
      <c r="I62" s="98"/>
      <c r="J62" s="98"/>
      <c r="K62" s="98"/>
      <c r="L62" s="98"/>
      <c r="M62" s="98"/>
      <c r="N62" s="98"/>
      <c r="O62" s="97">
        <f t="shared" si="2"/>
        <v>1001.3</v>
      </c>
    </row>
    <row r="63" spans="2:15" s="37" customFormat="1" ht="63">
      <c r="B63" s="30" t="s">
        <v>112</v>
      </c>
      <c r="C63" s="30"/>
      <c r="D63" s="34" t="s">
        <v>262</v>
      </c>
      <c r="E63" s="12">
        <f>E64</f>
        <v>5348.1</v>
      </c>
      <c r="F63" s="12">
        <f t="shared" ref="F63:N63" si="11">F64+F65</f>
        <v>5185.7</v>
      </c>
      <c r="G63" s="12">
        <f t="shared" si="11"/>
        <v>52.4</v>
      </c>
      <c r="H63" s="12">
        <f t="shared" si="11"/>
        <v>14</v>
      </c>
      <c r="I63" s="12">
        <f t="shared" si="11"/>
        <v>0</v>
      </c>
      <c r="J63" s="12">
        <f t="shared" si="11"/>
        <v>0</v>
      </c>
      <c r="K63" s="12">
        <f t="shared" si="11"/>
        <v>0</v>
      </c>
      <c r="L63" s="12">
        <f t="shared" si="11"/>
        <v>14</v>
      </c>
      <c r="M63" s="12">
        <f t="shared" si="11"/>
        <v>0</v>
      </c>
      <c r="N63" s="12">
        <f t="shared" si="11"/>
        <v>0</v>
      </c>
      <c r="O63" s="12">
        <f>E63+H63</f>
        <v>5362.1</v>
      </c>
    </row>
    <row r="64" spans="2:15" s="16" customFormat="1" ht="63">
      <c r="B64" s="18" t="s">
        <v>113</v>
      </c>
      <c r="C64" s="18" t="s">
        <v>31</v>
      </c>
      <c r="D64" s="17" t="s">
        <v>117</v>
      </c>
      <c r="E64" s="14">
        <v>5348.1</v>
      </c>
      <c r="F64" s="14">
        <f>4242.5+943.2</f>
        <v>5185.7</v>
      </c>
      <c r="G64" s="14">
        <v>52.4</v>
      </c>
      <c r="H64" s="25">
        <f>I64+L64</f>
        <v>14</v>
      </c>
      <c r="I64" s="25"/>
      <c r="J64" s="25"/>
      <c r="K64" s="25"/>
      <c r="L64" s="25">
        <v>14</v>
      </c>
      <c r="M64" s="25"/>
      <c r="N64" s="25"/>
      <c r="O64" s="24">
        <f t="shared" ref="O64:O73" si="12">E64+H64</f>
        <v>5362.1</v>
      </c>
    </row>
    <row r="65" spans="2:15" s="37" customFormat="1" ht="31.5">
      <c r="B65" s="30" t="s">
        <v>105</v>
      </c>
      <c r="C65" s="30"/>
      <c r="D65" s="34" t="s">
        <v>107</v>
      </c>
      <c r="E65" s="12">
        <f>E66</f>
        <v>33.6</v>
      </c>
      <c r="F65" s="12"/>
      <c r="G65" s="12"/>
      <c r="H65" s="19"/>
      <c r="I65" s="19"/>
      <c r="J65" s="19"/>
      <c r="K65" s="19"/>
      <c r="L65" s="19"/>
      <c r="M65" s="19"/>
      <c r="N65" s="19"/>
      <c r="O65" s="12">
        <f>E65+H65</f>
        <v>33.6</v>
      </c>
    </row>
    <row r="66" spans="2:15" s="16" customFormat="1" ht="31.5">
      <c r="B66" s="18" t="s">
        <v>106</v>
      </c>
      <c r="C66" s="18" t="s">
        <v>89</v>
      </c>
      <c r="D66" s="17" t="s">
        <v>118</v>
      </c>
      <c r="E66" s="14">
        <f>33.6</f>
        <v>33.6</v>
      </c>
      <c r="F66" s="14"/>
      <c r="G66" s="14"/>
      <c r="H66" s="20"/>
      <c r="I66" s="20"/>
      <c r="J66" s="20"/>
      <c r="K66" s="20"/>
      <c r="L66" s="20"/>
      <c r="M66" s="20"/>
      <c r="N66" s="20"/>
      <c r="O66" s="14">
        <f t="shared" si="12"/>
        <v>33.6</v>
      </c>
    </row>
    <row r="67" spans="2:15" s="33" customFormat="1" ht="31.5">
      <c r="B67" s="30" t="s">
        <v>147</v>
      </c>
      <c r="C67" s="30"/>
      <c r="D67" s="34" t="s">
        <v>109</v>
      </c>
      <c r="E67" s="12">
        <f>E68+E69</f>
        <v>3319.2999999999997</v>
      </c>
      <c r="F67" s="12">
        <f>F68+F69</f>
        <v>1435.4</v>
      </c>
      <c r="G67" s="12">
        <f>G68+G69</f>
        <v>109.3</v>
      </c>
      <c r="H67" s="19"/>
      <c r="I67" s="19"/>
      <c r="J67" s="19"/>
      <c r="K67" s="19"/>
      <c r="L67" s="19"/>
      <c r="M67" s="19"/>
      <c r="N67" s="19"/>
      <c r="O67" s="12">
        <f>E67+H67</f>
        <v>3319.2999999999997</v>
      </c>
    </row>
    <row r="68" spans="2:15" s="16" customFormat="1" ht="47.25">
      <c r="B68" s="18" t="s">
        <v>148</v>
      </c>
      <c r="C68" s="18" t="s">
        <v>89</v>
      </c>
      <c r="D68" s="17" t="s">
        <v>149</v>
      </c>
      <c r="E68" s="14">
        <f>1630.3+1417.9</f>
        <v>3048.2</v>
      </c>
      <c r="F68" s="14">
        <f>1172.5+262.9</f>
        <v>1435.4</v>
      </c>
      <c r="G68" s="14">
        <v>109.3</v>
      </c>
      <c r="H68" s="25"/>
      <c r="I68" s="25"/>
      <c r="J68" s="25"/>
      <c r="K68" s="25"/>
      <c r="L68" s="25"/>
      <c r="M68" s="25"/>
      <c r="N68" s="25"/>
      <c r="O68" s="24">
        <f t="shared" si="12"/>
        <v>3048.2</v>
      </c>
    </row>
    <row r="69" spans="2:15" s="16" customFormat="1" ht="15.75">
      <c r="B69" s="18" t="s">
        <v>150</v>
      </c>
      <c r="C69" s="18" t="s">
        <v>89</v>
      </c>
      <c r="D69" s="17" t="s">
        <v>119</v>
      </c>
      <c r="E69" s="24">
        <v>271.10000000000002</v>
      </c>
      <c r="F69" s="24"/>
      <c r="G69" s="24"/>
      <c r="H69" s="25"/>
      <c r="I69" s="25"/>
      <c r="J69" s="25"/>
      <c r="K69" s="25"/>
      <c r="L69" s="25"/>
      <c r="M69" s="25"/>
      <c r="N69" s="25"/>
      <c r="O69" s="24">
        <f t="shared" si="12"/>
        <v>271.10000000000002</v>
      </c>
    </row>
    <row r="70" spans="2:15" s="37" customFormat="1" ht="31.5">
      <c r="B70" s="30" t="s">
        <v>108</v>
      </c>
      <c r="C70" s="30"/>
      <c r="D70" s="34" t="s">
        <v>128</v>
      </c>
      <c r="E70" s="35">
        <f>E71</f>
        <v>591.5</v>
      </c>
      <c r="F70" s="35"/>
      <c r="G70" s="35"/>
      <c r="H70" s="40"/>
      <c r="I70" s="40"/>
      <c r="J70" s="40"/>
      <c r="K70" s="40"/>
      <c r="L70" s="40"/>
      <c r="M70" s="40"/>
      <c r="N70" s="40"/>
      <c r="O70" s="35">
        <f t="shared" si="12"/>
        <v>591.5</v>
      </c>
    </row>
    <row r="71" spans="2:15" s="16" customFormat="1" ht="15.75">
      <c r="B71" s="18" t="s">
        <v>151</v>
      </c>
      <c r="C71" s="18" t="s">
        <v>89</v>
      </c>
      <c r="D71" s="17" t="s">
        <v>129</v>
      </c>
      <c r="E71" s="24">
        <v>591.5</v>
      </c>
      <c r="F71" s="24"/>
      <c r="G71" s="24"/>
      <c r="H71" s="25"/>
      <c r="I71" s="25"/>
      <c r="J71" s="25"/>
      <c r="K71" s="25"/>
      <c r="L71" s="25"/>
      <c r="M71" s="25"/>
      <c r="N71" s="25"/>
      <c r="O71" s="24">
        <f>E71</f>
        <v>591.5</v>
      </c>
    </row>
    <row r="72" spans="2:15" s="16" customFormat="1" ht="78.75">
      <c r="B72" s="21" t="s">
        <v>110</v>
      </c>
      <c r="C72" s="21" t="s">
        <v>89</v>
      </c>
      <c r="D72" s="15" t="s">
        <v>111</v>
      </c>
      <c r="E72" s="2">
        <f>170+1031.7+217.5</f>
        <v>1419.2</v>
      </c>
      <c r="F72" s="2"/>
      <c r="G72" s="2"/>
      <c r="H72" s="13"/>
      <c r="I72" s="13"/>
      <c r="J72" s="13"/>
      <c r="K72" s="13"/>
      <c r="L72" s="13"/>
      <c r="M72" s="13"/>
      <c r="N72" s="13"/>
      <c r="O72" s="2">
        <f t="shared" si="12"/>
        <v>1419.2</v>
      </c>
    </row>
    <row r="73" spans="2:15" s="23" customFormat="1" ht="94.5">
      <c r="B73" s="21" t="s">
        <v>182</v>
      </c>
      <c r="C73" s="18" t="s">
        <v>30</v>
      </c>
      <c r="D73" s="15" t="s">
        <v>263</v>
      </c>
      <c r="E73" s="2">
        <v>520</v>
      </c>
      <c r="F73" s="12"/>
      <c r="G73" s="12"/>
      <c r="H73" s="12"/>
      <c r="I73" s="12"/>
      <c r="J73" s="12"/>
      <c r="K73" s="12"/>
      <c r="L73" s="12"/>
      <c r="M73" s="12"/>
      <c r="N73" s="12"/>
      <c r="O73" s="2">
        <f t="shared" si="12"/>
        <v>520</v>
      </c>
    </row>
    <row r="74" spans="2:15" ht="78.75">
      <c r="B74" s="21" t="s">
        <v>114</v>
      </c>
      <c r="C74" s="21" t="s">
        <v>36</v>
      </c>
      <c r="D74" s="15" t="s">
        <v>264</v>
      </c>
      <c r="E74" s="29">
        <v>850</v>
      </c>
      <c r="F74" s="29"/>
      <c r="G74" s="29"/>
      <c r="H74" s="2"/>
      <c r="I74" s="28"/>
      <c r="J74" s="28"/>
      <c r="K74" s="28"/>
      <c r="L74" s="28"/>
      <c r="M74" s="28"/>
      <c r="N74" s="28"/>
      <c r="O74" s="29">
        <f t="shared" si="2"/>
        <v>850</v>
      </c>
    </row>
    <row r="75" spans="2:15" s="23" customFormat="1" ht="15.75">
      <c r="B75" s="30" t="s">
        <v>265</v>
      </c>
      <c r="C75" s="30"/>
      <c r="D75" s="34" t="s">
        <v>115</v>
      </c>
      <c r="E75" s="35">
        <f>E76</f>
        <v>50</v>
      </c>
      <c r="F75" s="35"/>
      <c r="G75" s="35"/>
      <c r="H75" s="12">
        <f>H76</f>
        <v>0</v>
      </c>
      <c r="I75" s="40"/>
      <c r="J75" s="40"/>
      <c r="K75" s="40"/>
      <c r="L75" s="40"/>
      <c r="M75" s="40"/>
      <c r="N75" s="40"/>
      <c r="O75" s="35">
        <f>O76</f>
        <v>50</v>
      </c>
    </row>
    <row r="76" spans="2:15" s="26" customFormat="1" ht="47.25">
      <c r="B76" s="18" t="s">
        <v>266</v>
      </c>
      <c r="C76" s="18" t="s">
        <v>34</v>
      </c>
      <c r="D76" s="17" t="s">
        <v>267</v>
      </c>
      <c r="E76" s="24">
        <f>50</f>
        <v>50</v>
      </c>
      <c r="F76" s="24"/>
      <c r="G76" s="24"/>
      <c r="H76" s="25"/>
      <c r="I76" s="25"/>
      <c r="J76" s="25"/>
      <c r="K76" s="25"/>
      <c r="L76" s="25"/>
      <c r="M76" s="25"/>
      <c r="N76" s="25"/>
      <c r="O76" s="24">
        <f t="shared" si="2"/>
        <v>50</v>
      </c>
    </row>
    <row r="77" spans="2:15" ht="15.75">
      <c r="B77" s="21" t="s">
        <v>255</v>
      </c>
      <c r="C77" s="21" t="s">
        <v>216</v>
      </c>
      <c r="D77" s="15" t="s">
        <v>217</v>
      </c>
      <c r="E77" s="29">
        <v>50</v>
      </c>
      <c r="F77" s="29"/>
      <c r="G77" s="29"/>
      <c r="H77" s="28"/>
      <c r="I77" s="28"/>
      <c r="J77" s="28"/>
      <c r="K77" s="28"/>
      <c r="L77" s="28"/>
      <c r="M77" s="28"/>
      <c r="N77" s="28"/>
      <c r="O77" s="24">
        <f t="shared" si="2"/>
        <v>50</v>
      </c>
    </row>
    <row r="78" spans="2:15" ht="15.75">
      <c r="B78" s="88"/>
      <c r="C78" s="88"/>
      <c r="D78" s="89"/>
      <c r="E78" s="90"/>
      <c r="F78" s="29"/>
      <c r="G78" s="29"/>
      <c r="H78" s="28"/>
      <c r="I78" s="28"/>
      <c r="J78" s="28"/>
      <c r="K78" s="28"/>
      <c r="L78" s="28"/>
      <c r="M78" s="28"/>
      <c r="N78" s="28"/>
      <c r="O78" s="24"/>
    </row>
    <row r="79" spans="2:15" ht="15.75">
      <c r="B79" s="62" t="s">
        <v>268</v>
      </c>
      <c r="C79" s="62"/>
      <c r="D79" s="34" t="s">
        <v>239</v>
      </c>
      <c r="E79" s="60">
        <f>E80</f>
        <v>21443.5</v>
      </c>
      <c r="F79" s="60">
        <f t="shared" ref="F79:N79" si="13">F80</f>
        <v>0</v>
      </c>
      <c r="G79" s="60">
        <f t="shared" si="13"/>
        <v>0</v>
      </c>
      <c r="H79" s="60">
        <f t="shared" si="13"/>
        <v>0</v>
      </c>
      <c r="I79" s="60">
        <f t="shared" si="13"/>
        <v>0</v>
      </c>
      <c r="J79" s="60">
        <f t="shared" si="13"/>
        <v>0</v>
      </c>
      <c r="K79" s="60">
        <f t="shared" si="13"/>
        <v>0</v>
      </c>
      <c r="L79" s="60">
        <f t="shared" si="13"/>
        <v>0</v>
      </c>
      <c r="M79" s="60">
        <f t="shared" si="13"/>
        <v>0</v>
      </c>
      <c r="N79" s="60">
        <f t="shared" si="13"/>
        <v>0</v>
      </c>
      <c r="O79" s="91">
        <f t="shared" si="2"/>
        <v>21443.5</v>
      </c>
    </row>
    <row r="80" spans="2:15" ht="31.5">
      <c r="B80" s="21" t="s">
        <v>269</v>
      </c>
      <c r="C80" s="21" t="s">
        <v>38</v>
      </c>
      <c r="D80" s="15" t="s">
        <v>270</v>
      </c>
      <c r="E80" s="79">
        <f>2946.7+9000.4+9496.4</f>
        <v>21443.5</v>
      </c>
      <c r="F80" s="2"/>
      <c r="G80" s="2"/>
      <c r="H80" s="19"/>
      <c r="I80" s="13"/>
      <c r="J80" s="13"/>
      <c r="K80" s="13"/>
      <c r="L80" s="13"/>
      <c r="M80" s="13"/>
      <c r="N80" s="13"/>
      <c r="O80" s="2"/>
    </row>
    <row r="81" spans="2:17" s="33" customFormat="1">
      <c r="B81" s="30" t="s">
        <v>60</v>
      </c>
      <c r="C81" s="30"/>
      <c r="D81" s="76" t="s">
        <v>15</v>
      </c>
      <c r="E81" s="12">
        <f>E82+E83+E84+E85</f>
        <v>14020.500000000002</v>
      </c>
      <c r="F81" s="12">
        <f>F82+F83+F84+F85</f>
        <v>10081.799999999999</v>
      </c>
      <c r="G81" s="12">
        <f>G82+G83+G84+G85</f>
        <v>1416.7</v>
      </c>
      <c r="H81" s="19">
        <f>I81+L81</f>
        <v>2759</v>
      </c>
      <c r="I81" s="19">
        <f>I82+I83+I84+I85</f>
        <v>226</v>
      </c>
      <c r="J81" s="19">
        <f>J82+J83+J84+J85</f>
        <v>39</v>
      </c>
      <c r="K81" s="19"/>
      <c r="L81" s="19">
        <f>L82+L83+L84+L85</f>
        <v>2533</v>
      </c>
      <c r="M81" s="19">
        <f>M82+M83+M84+M85</f>
        <v>2533</v>
      </c>
      <c r="N81" s="19">
        <f>N82+N83+N84+N85</f>
        <v>2533</v>
      </c>
      <c r="O81" s="12">
        <f t="shared" si="2"/>
        <v>16779.5</v>
      </c>
    </row>
    <row r="82" spans="2:17">
      <c r="B82" s="21" t="s">
        <v>152</v>
      </c>
      <c r="C82" s="21" t="s">
        <v>62</v>
      </c>
      <c r="D82" s="77" t="s">
        <v>155</v>
      </c>
      <c r="E82" s="2">
        <v>4974.3</v>
      </c>
      <c r="F82" s="2">
        <f>3074.3+676.3</f>
        <v>3750.6000000000004</v>
      </c>
      <c r="G82" s="2">
        <v>558.29999999999995</v>
      </c>
      <c r="H82" s="13">
        <f>L82+I82</f>
        <v>154.5</v>
      </c>
      <c r="I82" s="13">
        <v>54.5</v>
      </c>
      <c r="J82" s="13"/>
      <c r="K82" s="13"/>
      <c r="L82" s="13">
        <f>85+15</f>
        <v>100</v>
      </c>
      <c r="M82" s="13">
        <v>100</v>
      </c>
      <c r="N82" s="13">
        <v>100</v>
      </c>
      <c r="O82" s="2">
        <f t="shared" si="2"/>
        <v>5128.8</v>
      </c>
    </row>
    <row r="83" spans="2:17">
      <c r="B83" s="21" t="s">
        <v>153</v>
      </c>
      <c r="C83" s="21" t="s">
        <v>62</v>
      </c>
      <c r="D83" s="77" t="s">
        <v>154</v>
      </c>
      <c r="E83" s="2">
        <v>1542.4</v>
      </c>
      <c r="F83" s="2">
        <f>978+215.2</f>
        <v>1193.2</v>
      </c>
      <c r="G83" s="2">
        <v>232.2</v>
      </c>
      <c r="H83" s="13">
        <f>I83+L83</f>
        <v>31.5</v>
      </c>
      <c r="I83" s="13">
        <v>31.5</v>
      </c>
      <c r="J83" s="13"/>
      <c r="K83" s="13"/>
      <c r="L83" s="13"/>
      <c r="M83" s="13"/>
      <c r="N83" s="13"/>
      <c r="O83" s="2">
        <f t="shared" si="2"/>
        <v>1573.9</v>
      </c>
    </row>
    <row r="84" spans="2:17" ht="45">
      <c r="B84" s="21" t="s">
        <v>61</v>
      </c>
      <c r="C84" s="21" t="s">
        <v>63</v>
      </c>
      <c r="D84" s="77" t="s">
        <v>156</v>
      </c>
      <c r="E84" s="2">
        <v>5500.7</v>
      </c>
      <c r="F84" s="2">
        <f>3548.9+780.8</f>
        <v>4329.7</v>
      </c>
      <c r="G84" s="2">
        <v>600</v>
      </c>
      <c r="H84" s="13">
        <f>I84+L84</f>
        <v>2543</v>
      </c>
      <c r="I84" s="13">
        <v>140</v>
      </c>
      <c r="J84" s="13">
        <v>39</v>
      </c>
      <c r="K84" s="13"/>
      <c r="L84" s="13">
        <f>1000+15+40+10+10+120+8+1000+200</f>
        <v>2403</v>
      </c>
      <c r="M84" s="13">
        <v>2403</v>
      </c>
      <c r="N84" s="13">
        <v>2403</v>
      </c>
      <c r="O84" s="2">
        <f t="shared" si="2"/>
        <v>8043.7</v>
      </c>
    </row>
    <row r="85" spans="2:17" ht="30">
      <c r="B85" s="21" t="s">
        <v>157</v>
      </c>
      <c r="C85" s="21"/>
      <c r="D85" s="77" t="s">
        <v>158</v>
      </c>
      <c r="E85" s="2">
        <v>2003.1</v>
      </c>
      <c r="F85" s="2">
        <f>662.5+145.8</f>
        <v>808.3</v>
      </c>
      <c r="G85" s="2">
        <v>26.2</v>
      </c>
      <c r="H85" s="13">
        <f>L85+I85</f>
        <v>30</v>
      </c>
      <c r="I85" s="13"/>
      <c r="J85" s="13"/>
      <c r="K85" s="13"/>
      <c r="L85" s="13">
        <f>30</f>
        <v>30</v>
      </c>
      <c r="M85" s="13">
        <v>30</v>
      </c>
      <c r="N85" s="13">
        <v>30</v>
      </c>
      <c r="O85" s="2">
        <f t="shared" si="2"/>
        <v>2033.1</v>
      </c>
    </row>
    <row r="86" spans="2:17" s="26" customFormat="1" ht="30">
      <c r="B86" s="18" t="s">
        <v>248</v>
      </c>
      <c r="C86" s="18" t="s">
        <v>64</v>
      </c>
      <c r="D86" s="75" t="s">
        <v>250</v>
      </c>
      <c r="E86" s="14">
        <v>882.1</v>
      </c>
      <c r="F86" s="14">
        <f>662.5+145.8</f>
        <v>808.3</v>
      </c>
      <c r="G86" s="14">
        <v>26.2</v>
      </c>
      <c r="H86" s="13">
        <f>L86+I86</f>
        <v>30</v>
      </c>
      <c r="I86" s="20"/>
      <c r="J86" s="20"/>
      <c r="K86" s="20"/>
      <c r="L86" s="20">
        <v>30</v>
      </c>
      <c r="M86" s="20">
        <v>30</v>
      </c>
      <c r="N86" s="20">
        <v>30</v>
      </c>
      <c r="O86" s="14">
        <f t="shared" si="2"/>
        <v>912.1</v>
      </c>
    </row>
    <row r="87" spans="2:17" s="26" customFormat="1" ht="21.75" customHeight="1">
      <c r="B87" s="18" t="s">
        <v>249</v>
      </c>
      <c r="C87" s="18" t="s">
        <v>64</v>
      </c>
      <c r="D87" s="75" t="s">
        <v>251</v>
      </c>
      <c r="E87" s="14">
        <v>1121</v>
      </c>
      <c r="F87" s="14">
        <f>254.1+55.9</f>
        <v>310</v>
      </c>
      <c r="G87" s="14"/>
      <c r="H87" s="20"/>
      <c r="I87" s="20"/>
      <c r="J87" s="20"/>
      <c r="K87" s="20"/>
      <c r="L87" s="20"/>
      <c r="M87" s="20"/>
      <c r="N87" s="20"/>
      <c r="O87" s="14">
        <f t="shared" si="2"/>
        <v>1121</v>
      </c>
    </row>
    <row r="88" spans="2:17" s="33" customFormat="1">
      <c r="B88" s="30" t="s">
        <v>65</v>
      </c>
      <c r="C88" s="30"/>
      <c r="D88" s="76" t="s">
        <v>19</v>
      </c>
      <c r="E88" s="12">
        <f>E89+E92+E94</f>
        <v>5356</v>
      </c>
      <c r="F88" s="12">
        <f>F89+F92+F94</f>
        <v>3658.7</v>
      </c>
      <c r="G88" s="12">
        <f>G89+G92+G94</f>
        <v>264.89999999999998</v>
      </c>
      <c r="H88" s="19">
        <f>L88+I88</f>
        <v>0</v>
      </c>
      <c r="I88" s="19">
        <f>I92</f>
        <v>0</v>
      </c>
      <c r="J88" s="19"/>
      <c r="K88" s="19"/>
      <c r="L88" s="19">
        <f>L92</f>
        <v>0</v>
      </c>
      <c r="M88" s="19">
        <f>M92</f>
        <v>0</v>
      </c>
      <c r="N88" s="19">
        <f>N92</f>
        <v>0</v>
      </c>
      <c r="O88" s="12">
        <f t="shared" si="2"/>
        <v>5356</v>
      </c>
    </row>
    <row r="89" spans="2:17">
      <c r="B89" s="21" t="s">
        <v>66</v>
      </c>
      <c r="C89" s="21"/>
      <c r="D89" s="77" t="s">
        <v>67</v>
      </c>
      <c r="E89" s="2">
        <f>E90+E91</f>
        <v>500</v>
      </c>
      <c r="F89" s="2"/>
      <c r="G89" s="2"/>
      <c r="H89" s="13"/>
      <c r="I89" s="13"/>
      <c r="J89" s="13"/>
      <c r="K89" s="13"/>
      <c r="L89" s="13"/>
      <c r="M89" s="13"/>
      <c r="N89" s="13"/>
      <c r="O89" s="2">
        <f t="shared" si="2"/>
        <v>500</v>
      </c>
    </row>
    <row r="90" spans="2:17" s="16" customFormat="1" ht="30">
      <c r="B90" s="18" t="s">
        <v>68</v>
      </c>
      <c r="C90" s="18" t="s">
        <v>69</v>
      </c>
      <c r="D90" s="75" t="s">
        <v>70</v>
      </c>
      <c r="E90" s="14">
        <v>300</v>
      </c>
      <c r="F90" s="14"/>
      <c r="G90" s="14"/>
      <c r="H90" s="20"/>
      <c r="I90" s="20"/>
      <c r="J90" s="20"/>
      <c r="K90" s="20"/>
      <c r="L90" s="20"/>
      <c r="M90" s="20"/>
      <c r="N90" s="20"/>
      <c r="O90" s="2">
        <f t="shared" si="2"/>
        <v>300</v>
      </c>
    </row>
    <row r="91" spans="2:17" s="16" customFormat="1" ht="30">
      <c r="B91" s="18" t="s">
        <v>120</v>
      </c>
      <c r="C91" s="18" t="s">
        <v>69</v>
      </c>
      <c r="D91" s="75" t="s">
        <v>121</v>
      </c>
      <c r="E91" s="14">
        <v>200</v>
      </c>
      <c r="F91" s="14"/>
      <c r="G91" s="14"/>
      <c r="H91" s="20"/>
      <c r="I91" s="20"/>
      <c r="J91" s="20"/>
      <c r="K91" s="20"/>
      <c r="L91" s="20"/>
      <c r="M91" s="20"/>
      <c r="N91" s="20"/>
      <c r="O91" s="14">
        <f>E91+H91</f>
        <v>200</v>
      </c>
    </row>
    <row r="92" spans="2:17" ht="19.5" customHeight="1">
      <c r="B92" s="21" t="s">
        <v>126</v>
      </c>
      <c r="C92" s="21"/>
      <c r="D92" s="22" t="s">
        <v>125</v>
      </c>
      <c r="E92" s="2">
        <f>E93</f>
        <v>4326.2</v>
      </c>
      <c r="F92" s="2">
        <f>F93</f>
        <v>3658.7</v>
      </c>
      <c r="G92" s="2">
        <f>G93</f>
        <v>264.89999999999998</v>
      </c>
      <c r="H92" s="13">
        <f>I92+L92</f>
        <v>0</v>
      </c>
      <c r="I92" s="13">
        <f>I93</f>
        <v>0</v>
      </c>
      <c r="J92" s="13"/>
      <c r="K92" s="13"/>
      <c r="L92" s="13">
        <f>L93</f>
        <v>0</v>
      </c>
      <c r="M92" s="13">
        <f>M93</f>
        <v>0</v>
      </c>
      <c r="N92" s="13">
        <f>N93</f>
        <v>0</v>
      </c>
      <c r="O92" s="2">
        <f>O93</f>
        <v>4326.2</v>
      </c>
    </row>
    <row r="93" spans="2:17" s="16" customFormat="1" ht="27.75" customHeight="1">
      <c r="B93" s="18" t="s">
        <v>127</v>
      </c>
      <c r="C93" s="18" t="s">
        <v>69</v>
      </c>
      <c r="D93" s="75" t="s">
        <v>130</v>
      </c>
      <c r="E93" s="14">
        <v>4326.2</v>
      </c>
      <c r="F93" s="14">
        <f>2998.9+659.8</f>
        <v>3658.7</v>
      </c>
      <c r="G93" s="14">
        <v>264.89999999999998</v>
      </c>
      <c r="H93" s="20">
        <f>I93+L93</f>
        <v>0</v>
      </c>
      <c r="I93" s="20"/>
      <c r="J93" s="20"/>
      <c r="K93" s="20"/>
      <c r="L93" s="20"/>
      <c r="M93" s="20"/>
      <c r="N93" s="20"/>
      <c r="O93" s="14">
        <f>E93+H93</f>
        <v>4326.2</v>
      </c>
    </row>
    <row r="94" spans="2:17">
      <c r="B94" s="21" t="s">
        <v>131</v>
      </c>
      <c r="C94" s="21"/>
      <c r="D94" s="77" t="s">
        <v>132</v>
      </c>
      <c r="E94" s="2">
        <f>E95</f>
        <v>529.79999999999995</v>
      </c>
      <c r="F94" s="2"/>
      <c r="G94" s="2"/>
      <c r="H94" s="13"/>
      <c r="I94" s="13"/>
      <c r="J94" s="13"/>
      <c r="K94" s="13"/>
      <c r="L94" s="13"/>
      <c r="M94" s="13"/>
      <c r="N94" s="13"/>
      <c r="O94" s="2">
        <f>E94+H94</f>
        <v>529.79999999999995</v>
      </c>
    </row>
    <row r="95" spans="2:17" ht="60">
      <c r="B95" s="18" t="s">
        <v>133</v>
      </c>
      <c r="C95" s="18" t="s">
        <v>69</v>
      </c>
      <c r="D95" s="78" t="s">
        <v>134</v>
      </c>
      <c r="E95" s="2">
        <v>529.79999999999995</v>
      </c>
      <c r="F95" s="2"/>
      <c r="G95" s="2"/>
      <c r="H95" s="13"/>
      <c r="I95" s="13"/>
      <c r="J95" s="13"/>
      <c r="K95" s="13"/>
      <c r="L95" s="13"/>
      <c r="M95" s="13"/>
      <c r="N95" s="13"/>
      <c r="O95" s="2">
        <f>E95</f>
        <v>529.79999999999995</v>
      </c>
    </row>
    <row r="96" spans="2:17">
      <c r="B96" s="30" t="s">
        <v>56</v>
      </c>
      <c r="C96" s="21"/>
      <c r="D96" s="31" t="s">
        <v>14</v>
      </c>
      <c r="E96" s="12">
        <f>E97+E102+E103</f>
        <v>45600.1</v>
      </c>
      <c r="F96" s="12"/>
      <c r="G96" s="12"/>
      <c r="H96" s="19">
        <f>L96+I96</f>
        <v>30280</v>
      </c>
      <c r="I96" s="19"/>
      <c r="J96" s="19"/>
      <c r="K96" s="12"/>
      <c r="L96" s="12">
        <f>L97+L102+L103</f>
        <v>30280</v>
      </c>
      <c r="M96" s="12">
        <f>M97+M102+M103</f>
        <v>30280</v>
      </c>
      <c r="N96" s="12">
        <f>N97+N102+N103</f>
        <v>25280</v>
      </c>
      <c r="O96" s="12">
        <f t="shared" si="2"/>
        <v>75880.100000000006</v>
      </c>
      <c r="Q96" s="49">
        <f>L96+L107+L111+L114</f>
        <v>87870</v>
      </c>
    </row>
    <row r="97" spans="1:17" s="44" customFormat="1" ht="31.5">
      <c r="B97" s="63" t="s">
        <v>57</v>
      </c>
      <c r="C97" s="63"/>
      <c r="D97" s="15" t="s">
        <v>244</v>
      </c>
      <c r="E97" s="79">
        <f>E98+E99+E100+E101</f>
        <v>1231.4000000000001</v>
      </c>
      <c r="F97" s="79"/>
      <c r="G97" s="79"/>
      <c r="H97" s="80">
        <f>I97+L97</f>
        <v>24000</v>
      </c>
      <c r="I97" s="79"/>
      <c r="J97" s="79"/>
      <c r="K97" s="79"/>
      <c r="L97" s="79">
        <f>L98+L99+L100+L101</f>
        <v>24000</v>
      </c>
      <c r="M97" s="79">
        <f>M98+M99+M100+M101</f>
        <v>24000</v>
      </c>
      <c r="N97" s="79">
        <f>N98+N99+N100+N101</f>
        <v>19000</v>
      </c>
      <c r="O97" s="79">
        <f>E97+H97</f>
        <v>25231.4</v>
      </c>
      <c r="P97" s="47"/>
      <c r="Q97" s="47"/>
    </row>
    <row r="98" spans="1:17" ht="31.5">
      <c r="A98" s="26">
        <v>200</v>
      </c>
      <c r="B98" s="18" t="s">
        <v>183</v>
      </c>
      <c r="C98" s="18" t="s">
        <v>59</v>
      </c>
      <c r="D98" s="17" t="s">
        <v>245</v>
      </c>
      <c r="E98" s="14">
        <f>200</f>
        <v>200</v>
      </c>
      <c r="F98" s="14"/>
      <c r="G98" s="14"/>
      <c r="H98" s="20">
        <f>L98+I98</f>
        <v>11000</v>
      </c>
      <c r="I98" s="20"/>
      <c r="J98" s="20"/>
      <c r="K98" s="20"/>
      <c r="L98" s="20">
        <f>2000+9000</f>
        <v>11000</v>
      </c>
      <c r="M98" s="20">
        <f>2000+9000</f>
        <v>11000</v>
      </c>
      <c r="N98" s="20">
        <f>1000+9000</f>
        <v>10000</v>
      </c>
      <c r="O98" s="14">
        <f>E98+H98</f>
        <v>11200</v>
      </c>
    </row>
    <row r="99" spans="1:17" ht="49.5" customHeight="1">
      <c r="A99" s="26"/>
      <c r="B99" s="18" t="s">
        <v>187</v>
      </c>
      <c r="C99" s="18" t="s">
        <v>59</v>
      </c>
      <c r="D99" s="51" t="s">
        <v>186</v>
      </c>
      <c r="E99" s="14"/>
      <c r="F99" s="14"/>
      <c r="G99" s="14"/>
      <c r="H99" s="20">
        <f t="shared" ref="H99:H101" si="14">L99+I99</f>
        <v>4000</v>
      </c>
      <c r="I99" s="20"/>
      <c r="J99" s="20"/>
      <c r="K99" s="20"/>
      <c r="L99" s="20">
        <v>4000</v>
      </c>
      <c r="M99" s="20">
        <v>4000</v>
      </c>
      <c r="N99" s="20">
        <v>4000</v>
      </c>
      <c r="O99" s="14">
        <f t="shared" ref="O99:O103" si="15">E99+H99</f>
        <v>4000</v>
      </c>
    </row>
    <row r="100" spans="1:17" ht="31.5">
      <c r="A100" s="26">
        <v>531.4</v>
      </c>
      <c r="B100" s="18" t="s">
        <v>184</v>
      </c>
      <c r="C100" s="18" t="s">
        <v>59</v>
      </c>
      <c r="D100" s="17" t="s">
        <v>185</v>
      </c>
      <c r="E100" s="14">
        <v>531.4</v>
      </c>
      <c r="F100" s="14"/>
      <c r="G100" s="14"/>
      <c r="H100" s="20">
        <f t="shared" si="14"/>
        <v>4000</v>
      </c>
      <c r="I100" s="20"/>
      <c r="J100" s="20"/>
      <c r="K100" s="20"/>
      <c r="L100" s="20">
        <v>4000</v>
      </c>
      <c r="M100" s="20">
        <v>4000</v>
      </c>
      <c r="N100" s="20"/>
      <c r="O100" s="14">
        <f t="shared" si="15"/>
        <v>4531.3999999999996</v>
      </c>
    </row>
    <row r="101" spans="1:17" ht="31.5">
      <c r="A101" s="26">
        <v>500</v>
      </c>
      <c r="B101" s="18" t="s">
        <v>218</v>
      </c>
      <c r="C101" s="18" t="s">
        <v>59</v>
      </c>
      <c r="D101" s="17" t="s">
        <v>219</v>
      </c>
      <c r="E101" s="14">
        <v>500</v>
      </c>
      <c r="F101" s="14"/>
      <c r="G101" s="14"/>
      <c r="H101" s="20">
        <f t="shared" si="14"/>
        <v>5000</v>
      </c>
      <c r="I101" s="20"/>
      <c r="J101" s="20"/>
      <c r="K101" s="20"/>
      <c r="L101" s="20">
        <v>5000</v>
      </c>
      <c r="M101" s="20">
        <v>5000</v>
      </c>
      <c r="N101" s="20">
        <v>5000</v>
      </c>
      <c r="O101" s="14">
        <f t="shared" si="15"/>
        <v>5500</v>
      </c>
    </row>
    <row r="102" spans="1:17" s="44" customFormat="1" ht="15.75">
      <c r="A102" s="44">
        <f>12448.8+1200+7446.5+300+10705.4+9+860+200+1000+6300-661.2</f>
        <v>39808.5</v>
      </c>
      <c r="B102" s="63" t="s">
        <v>58</v>
      </c>
      <c r="C102" s="63" t="s">
        <v>59</v>
      </c>
      <c r="D102" s="81" t="s">
        <v>175</v>
      </c>
      <c r="E102" s="43">
        <f>39808.5+1030+1420+299+311.2+1500</f>
        <v>44368.7</v>
      </c>
      <c r="F102" s="43"/>
      <c r="G102" s="43"/>
      <c r="H102" s="82">
        <f>L102</f>
        <v>6080</v>
      </c>
      <c r="I102" s="82"/>
      <c r="J102" s="82"/>
      <c r="K102" s="82"/>
      <c r="L102" s="82">
        <f>1900+1000+3610+70-500</f>
        <v>6080</v>
      </c>
      <c r="M102" s="82">
        <f>6580-500</f>
        <v>6080</v>
      </c>
      <c r="N102" s="82">
        <f>6580-500</f>
        <v>6080</v>
      </c>
      <c r="O102" s="79">
        <f t="shared" si="15"/>
        <v>50448.7</v>
      </c>
    </row>
    <row r="103" spans="1:17" ht="31.5">
      <c r="A103" s="1">
        <v>490</v>
      </c>
      <c r="B103" s="21" t="s">
        <v>229</v>
      </c>
      <c r="C103" s="21" t="s">
        <v>220</v>
      </c>
      <c r="D103" s="42" t="s">
        <v>230</v>
      </c>
      <c r="E103" s="2"/>
      <c r="F103" s="2"/>
      <c r="G103" s="2"/>
      <c r="H103" s="13">
        <f>I103+L103</f>
        <v>200</v>
      </c>
      <c r="I103" s="13"/>
      <c r="J103" s="13"/>
      <c r="K103" s="13"/>
      <c r="L103" s="13">
        <v>200</v>
      </c>
      <c r="M103" s="13">
        <v>200</v>
      </c>
      <c r="N103" s="13">
        <v>200</v>
      </c>
      <c r="O103" s="2">
        <f t="shared" si="15"/>
        <v>200</v>
      </c>
    </row>
    <row r="104" spans="1:17" s="27" customFormat="1" ht="25.5" customHeight="1">
      <c r="B104" s="30" t="s">
        <v>171</v>
      </c>
      <c r="C104" s="21"/>
      <c r="D104" s="31" t="s">
        <v>172</v>
      </c>
      <c r="E104" s="12">
        <f>E105+E107+E111+E114</f>
        <v>19060.7</v>
      </c>
      <c r="F104" s="12"/>
      <c r="G104" s="12"/>
      <c r="H104" s="40">
        <f>I104+L104</f>
        <v>57890</v>
      </c>
      <c r="I104" s="19">
        <f>I105+I107+I111+I114</f>
        <v>0</v>
      </c>
      <c r="J104" s="19">
        <f t="shared" ref="J104:M104" si="16">J105+J107+J111+J114</f>
        <v>0</v>
      </c>
      <c r="K104" s="19">
        <f t="shared" si="16"/>
        <v>0</v>
      </c>
      <c r="L104" s="19">
        <f t="shared" si="16"/>
        <v>57890</v>
      </c>
      <c r="M104" s="19">
        <f t="shared" si="16"/>
        <v>57890</v>
      </c>
      <c r="N104" s="19">
        <f>N105+N107+N111+N114</f>
        <v>56890</v>
      </c>
      <c r="O104" s="35">
        <f>E104+H104</f>
        <v>76950.7</v>
      </c>
    </row>
    <row r="105" spans="1:17" s="33" customFormat="1" ht="29.25">
      <c r="B105" s="30" t="s">
        <v>169</v>
      </c>
      <c r="C105" s="30"/>
      <c r="D105" s="74" t="s">
        <v>276</v>
      </c>
      <c r="E105" s="35">
        <f>E106</f>
        <v>0</v>
      </c>
      <c r="F105" s="35"/>
      <c r="G105" s="35"/>
      <c r="H105" s="40">
        <f t="shared" ref="H105:H106" si="17">I105+L105</f>
        <v>300</v>
      </c>
      <c r="I105" s="40">
        <f>I106</f>
        <v>0</v>
      </c>
      <c r="J105" s="40">
        <f t="shared" ref="J105:N105" si="18">J106</f>
        <v>0</v>
      </c>
      <c r="K105" s="40">
        <f t="shared" si="18"/>
        <v>0</v>
      </c>
      <c r="L105" s="40">
        <f t="shared" si="18"/>
        <v>300</v>
      </c>
      <c r="M105" s="40">
        <f t="shared" si="18"/>
        <v>300</v>
      </c>
      <c r="N105" s="40">
        <f t="shared" si="18"/>
        <v>300</v>
      </c>
      <c r="O105" s="35">
        <f t="shared" ref="O105:O106" si="19">E105+H105</f>
        <v>300</v>
      </c>
    </row>
    <row r="106" spans="1:17" s="16" customFormat="1" ht="18.75" customHeight="1">
      <c r="B106" s="21" t="s">
        <v>191</v>
      </c>
      <c r="C106" s="21" t="s">
        <v>135</v>
      </c>
      <c r="D106" s="70" t="s">
        <v>170</v>
      </c>
      <c r="E106" s="24"/>
      <c r="F106" s="24"/>
      <c r="G106" s="24"/>
      <c r="H106" s="25">
        <f t="shared" si="17"/>
        <v>300</v>
      </c>
      <c r="I106" s="25"/>
      <c r="J106" s="25"/>
      <c r="K106" s="25"/>
      <c r="L106" s="25">
        <v>300</v>
      </c>
      <c r="M106" s="25">
        <v>300</v>
      </c>
      <c r="N106" s="25">
        <v>300</v>
      </c>
      <c r="O106" s="24">
        <f t="shared" si="19"/>
        <v>300</v>
      </c>
    </row>
    <row r="107" spans="1:17" ht="21" customHeight="1">
      <c r="B107" s="30" t="s">
        <v>136</v>
      </c>
      <c r="C107" s="21"/>
      <c r="D107" s="31" t="s">
        <v>173</v>
      </c>
      <c r="E107" s="12">
        <f>E108+E109+E110</f>
        <v>490</v>
      </c>
      <c r="F107" s="12"/>
      <c r="G107" s="12"/>
      <c r="H107" s="19">
        <f>I107+L107</f>
        <v>37090</v>
      </c>
      <c r="I107" s="19">
        <f t="shared" ref="I107:K107" si="20">I110</f>
        <v>0</v>
      </c>
      <c r="J107" s="19">
        <f t="shared" si="20"/>
        <v>0</v>
      </c>
      <c r="K107" s="19">
        <f t="shared" si="20"/>
        <v>0</v>
      </c>
      <c r="L107" s="19">
        <f>L108+L109+L110</f>
        <v>37090</v>
      </c>
      <c r="M107" s="19">
        <f t="shared" ref="M107:N107" si="21">M108+M109+M110</f>
        <v>37090</v>
      </c>
      <c r="N107" s="19">
        <f t="shared" si="21"/>
        <v>37090</v>
      </c>
      <c r="O107" s="12">
        <f>E107+H107</f>
        <v>37580</v>
      </c>
    </row>
    <row r="108" spans="1:17" ht="30">
      <c r="B108" s="21" t="s">
        <v>137</v>
      </c>
      <c r="C108" s="21" t="s">
        <v>72</v>
      </c>
      <c r="D108" s="48" t="s">
        <v>174</v>
      </c>
      <c r="E108" s="2">
        <v>0</v>
      </c>
      <c r="F108" s="2"/>
      <c r="G108" s="2"/>
      <c r="H108" s="13">
        <f>L108</f>
        <v>0</v>
      </c>
      <c r="I108" s="13"/>
      <c r="J108" s="13"/>
      <c r="K108" s="13"/>
      <c r="L108" s="13"/>
      <c r="M108" s="13"/>
      <c r="N108" s="13"/>
      <c r="O108" s="2">
        <f>E108+H108</f>
        <v>0</v>
      </c>
    </row>
    <row r="109" spans="1:17" ht="31.5">
      <c r="B109" s="21" t="s">
        <v>228</v>
      </c>
      <c r="C109" s="21" t="s">
        <v>72</v>
      </c>
      <c r="D109" s="42" t="s">
        <v>275</v>
      </c>
      <c r="E109" s="2">
        <v>490</v>
      </c>
      <c r="F109" s="2"/>
      <c r="G109" s="2"/>
      <c r="H109" s="13">
        <f>L109</f>
        <v>0</v>
      </c>
      <c r="I109" s="13"/>
      <c r="J109" s="13"/>
      <c r="K109" s="13"/>
      <c r="L109" s="13"/>
      <c r="M109" s="13"/>
      <c r="N109" s="13"/>
      <c r="O109" s="2">
        <f t="shared" ref="O109:O134" si="22">E109+H109</f>
        <v>490</v>
      </c>
    </row>
    <row r="110" spans="1:17" s="26" customFormat="1" ht="31.5">
      <c r="B110" s="21" t="s">
        <v>252</v>
      </c>
      <c r="C110" s="21" t="s">
        <v>71</v>
      </c>
      <c r="D110" s="39" t="s">
        <v>192</v>
      </c>
      <c r="E110" s="24"/>
      <c r="F110" s="24"/>
      <c r="G110" s="24"/>
      <c r="H110" s="13">
        <f>L110</f>
        <v>37090</v>
      </c>
      <c r="I110" s="25"/>
      <c r="J110" s="25"/>
      <c r="K110" s="25"/>
      <c r="L110" s="13">
        <f>100+10000+10000+5000+1490+10000+500</f>
        <v>37090</v>
      </c>
      <c r="M110" s="13">
        <f>100+10000+10000+5000+1490+10000+500</f>
        <v>37090</v>
      </c>
      <c r="N110" s="13">
        <f>100+10000+10000+5000+1490+10000+500</f>
        <v>37090</v>
      </c>
      <c r="O110" s="2">
        <f t="shared" si="22"/>
        <v>37090</v>
      </c>
    </row>
    <row r="111" spans="1:17" ht="29.25">
      <c r="B111" s="30" t="s">
        <v>77</v>
      </c>
      <c r="C111" s="21"/>
      <c r="D111" s="31" t="s">
        <v>163</v>
      </c>
      <c r="E111" s="12">
        <f>E112</f>
        <v>14000</v>
      </c>
      <c r="F111" s="12"/>
      <c r="G111" s="12"/>
      <c r="H111" s="19">
        <f t="shared" ref="H111:N111" si="23">H113</f>
        <v>19500</v>
      </c>
      <c r="I111" s="19">
        <f t="shared" si="23"/>
        <v>0</v>
      </c>
      <c r="J111" s="19">
        <f t="shared" si="23"/>
        <v>0</v>
      </c>
      <c r="K111" s="19">
        <f t="shared" si="23"/>
        <v>0</v>
      </c>
      <c r="L111" s="19">
        <f t="shared" si="23"/>
        <v>19500</v>
      </c>
      <c r="M111" s="19">
        <f t="shared" si="23"/>
        <v>19500</v>
      </c>
      <c r="N111" s="19">
        <f t="shared" si="23"/>
        <v>19500</v>
      </c>
      <c r="O111" s="12">
        <f t="shared" si="22"/>
        <v>33500</v>
      </c>
    </row>
    <row r="112" spans="1:17" ht="30">
      <c r="B112" s="21" t="s">
        <v>164</v>
      </c>
      <c r="C112" s="21"/>
      <c r="D112" s="48" t="s">
        <v>165</v>
      </c>
      <c r="E112" s="2">
        <f>E113</f>
        <v>14000</v>
      </c>
      <c r="F112" s="2"/>
      <c r="G112" s="2"/>
      <c r="H112" s="13">
        <f>I112+L112</f>
        <v>19500</v>
      </c>
      <c r="I112" s="2">
        <f t="shared" ref="I112:N112" si="24">I113</f>
        <v>0</v>
      </c>
      <c r="J112" s="2">
        <f t="shared" si="24"/>
        <v>0</v>
      </c>
      <c r="K112" s="2">
        <f t="shared" si="24"/>
        <v>0</v>
      </c>
      <c r="L112" s="2">
        <f t="shared" si="24"/>
        <v>19500</v>
      </c>
      <c r="M112" s="2">
        <f t="shared" si="24"/>
        <v>19500</v>
      </c>
      <c r="N112" s="2">
        <f t="shared" si="24"/>
        <v>19500</v>
      </c>
      <c r="O112" s="29">
        <f t="shared" si="22"/>
        <v>33500</v>
      </c>
    </row>
    <row r="113" spans="1:15" s="26" customFormat="1" ht="47.25">
      <c r="A113" s="26">
        <f>12000+2000</f>
        <v>14000</v>
      </c>
      <c r="B113" s="18" t="s">
        <v>167</v>
      </c>
      <c r="C113" s="18" t="s">
        <v>75</v>
      </c>
      <c r="D113" s="17" t="s">
        <v>166</v>
      </c>
      <c r="E113" s="24">
        <v>14000</v>
      </c>
      <c r="F113" s="24"/>
      <c r="G113" s="24"/>
      <c r="H113" s="25">
        <f>I113+L113</f>
        <v>19500</v>
      </c>
      <c r="I113" s="25"/>
      <c r="J113" s="25"/>
      <c r="K113" s="25"/>
      <c r="L113" s="25">
        <v>19500</v>
      </c>
      <c r="M113" s="25">
        <v>19500</v>
      </c>
      <c r="N113" s="25">
        <v>19500</v>
      </c>
      <c r="O113" s="24">
        <f t="shared" si="22"/>
        <v>33500</v>
      </c>
    </row>
    <row r="114" spans="1:15" ht="31.5">
      <c r="B114" s="30" t="s">
        <v>193</v>
      </c>
      <c r="C114" s="18"/>
      <c r="D114" s="53" t="s">
        <v>194</v>
      </c>
      <c r="E114" s="12">
        <f>E115+E116+E117+E118+E119+E120</f>
        <v>4570.7</v>
      </c>
      <c r="F114" s="12"/>
      <c r="G114" s="12"/>
      <c r="H114" s="19">
        <f>I114+L114</f>
        <v>1000</v>
      </c>
      <c r="I114" s="19"/>
      <c r="J114" s="19"/>
      <c r="K114" s="19"/>
      <c r="L114" s="19">
        <f>L118+L116+L120</f>
        <v>1000</v>
      </c>
      <c r="M114" s="19">
        <f t="shared" ref="M114:N114" si="25">M118+M116+M120</f>
        <v>1000</v>
      </c>
      <c r="N114" s="19">
        <f t="shared" si="25"/>
        <v>0</v>
      </c>
      <c r="O114" s="35">
        <f t="shared" si="22"/>
        <v>5570.7</v>
      </c>
    </row>
    <row r="115" spans="1:15" ht="31.5">
      <c r="B115" s="21" t="s">
        <v>211</v>
      </c>
      <c r="C115" s="21" t="s">
        <v>212</v>
      </c>
      <c r="D115" s="39" t="s">
        <v>213</v>
      </c>
      <c r="E115" s="2">
        <f>300+500</f>
        <v>800</v>
      </c>
      <c r="F115" s="2"/>
      <c r="G115" s="2"/>
      <c r="H115" s="13"/>
      <c r="I115" s="13"/>
      <c r="J115" s="13"/>
      <c r="K115" s="13"/>
      <c r="L115" s="13"/>
      <c r="M115" s="13"/>
      <c r="N115" s="13"/>
      <c r="O115" s="2">
        <f t="shared" si="22"/>
        <v>800</v>
      </c>
    </row>
    <row r="116" spans="1:15" ht="15.75">
      <c r="B116" s="21" t="s">
        <v>195</v>
      </c>
      <c r="C116" s="21" t="s">
        <v>78</v>
      </c>
      <c r="D116" s="15" t="s">
        <v>79</v>
      </c>
      <c r="E116" s="2">
        <v>200</v>
      </c>
      <c r="F116" s="2"/>
      <c r="G116" s="2"/>
      <c r="H116" s="13">
        <f>L116+I116</f>
        <v>1000</v>
      </c>
      <c r="I116" s="13"/>
      <c r="J116" s="13"/>
      <c r="K116" s="13"/>
      <c r="L116" s="13">
        <v>1000</v>
      </c>
      <c r="M116" s="13">
        <v>1000</v>
      </c>
      <c r="N116" s="13"/>
      <c r="O116" s="2">
        <f t="shared" si="22"/>
        <v>1200</v>
      </c>
    </row>
    <row r="117" spans="1:15" ht="31.5">
      <c r="B117" s="21" t="s">
        <v>201</v>
      </c>
      <c r="C117" s="21" t="s">
        <v>71</v>
      </c>
      <c r="D117" s="15" t="s">
        <v>202</v>
      </c>
      <c r="E117" s="2">
        <v>189</v>
      </c>
      <c r="F117" s="2"/>
      <c r="G117" s="2"/>
      <c r="H117" s="13"/>
      <c r="I117" s="13"/>
      <c r="J117" s="13"/>
      <c r="K117" s="13"/>
      <c r="L117" s="13"/>
      <c r="M117" s="13"/>
      <c r="N117" s="13"/>
      <c r="O117" s="2">
        <f t="shared" si="22"/>
        <v>189</v>
      </c>
    </row>
    <row r="118" spans="1:15" ht="31.5">
      <c r="B118" s="21" t="s">
        <v>196</v>
      </c>
      <c r="C118" s="21" t="s">
        <v>71</v>
      </c>
      <c r="D118" s="42" t="s">
        <v>197</v>
      </c>
      <c r="E118" s="2"/>
      <c r="F118" s="2"/>
      <c r="G118" s="2"/>
      <c r="H118" s="13"/>
      <c r="I118" s="13"/>
      <c r="J118" s="13"/>
      <c r="K118" s="13"/>
      <c r="L118" s="13"/>
      <c r="M118" s="13"/>
      <c r="N118" s="13"/>
      <c r="O118" s="2">
        <f>E118+H118</f>
        <v>0</v>
      </c>
    </row>
    <row r="119" spans="1:15" ht="31.5">
      <c r="B119" s="21" t="s">
        <v>208</v>
      </c>
      <c r="C119" s="21" t="s">
        <v>71</v>
      </c>
      <c r="D119" s="42" t="s">
        <v>209</v>
      </c>
      <c r="E119" s="2">
        <v>40</v>
      </c>
      <c r="F119" s="2"/>
      <c r="G119" s="2"/>
      <c r="H119" s="13"/>
      <c r="I119" s="13"/>
      <c r="J119" s="13"/>
      <c r="K119" s="13"/>
      <c r="L119" s="13"/>
      <c r="M119" s="13"/>
      <c r="N119" s="13"/>
      <c r="O119" s="2">
        <f t="shared" si="22"/>
        <v>40</v>
      </c>
    </row>
    <row r="120" spans="1:15" ht="15.75">
      <c r="B120" s="21" t="s">
        <v>221</v>
      </c>
      <c r="C120" s="21"/>
      <c r="D120" s="42" t="s">
        <v>222</v>
      </c>
      <c r="E120" s="2">
        <v>3341.7</v>
      </c>
      <c r="F120" s="2"/>
      <c r="G120" s="2"/>
      <c r="H120" s="13">
        <f>H121</f>
        <v>0</v>
      </c>
      <c r="I120" s="13">
        <f>I121</f>
        <v>0</v>
      </c>
      <c r="J120" s="13"/>
      <c r="K120" s="13"/>
      <c r="L120" s="13">
        <f>L121</f>
        <v>0</v>
      </c>
      <c r="M120" s="13"/>
      <c r="N120" s="13"/>
      <c r="O120" s="29">
        <f t="shared" si="22"/>
        <v>3341.7</v>
      </c>
    </row>
    <row r="121" spans="1:15" s="96" customFormat="1" ht="31.5">
      <c r="B121" s="93" t="s">
        <v>253</v>
      </c>
      <c r="C121" s="93" t="s">
        <v>71</v>
      </c>
      <c r="D121" s="51" t="s">
        <v>277</v>
      </c>
      <c r="E121" s="94">
        <v>3341.7</v>
      </c>
      <c r="F121" s="94"/>
      <c r="G121" s="94"/>
      <c r="H121" s="95">
        <f>I121+L121</f>
        <v>0</v>
      </c>
      <c r="I121" s="95">
        <v>0</v>
      </c>
      <c r="J121" s="95"/>
      <c r="K121" s="95"/>
      <c r="L121" s="95"/>
      <c r="M121" s="95"/>
      <c r="N121" s="95"/>
      <c r="O121" s="94">
        <f t="shared" si="22"/>
        <v>3341.7</v>
      </c>
    </row>
    <row r="122" spans="1:15" s="84" customFormat="1" ht="15.75">
      <c r="B122" s="62" t="s">
        <v>83</v>
      </c>
      <c r="C122" s="62"/>
      <c r="D122" s="34" t="s">
        <v>168</v>
      </c>
      <c r="E122" s="60">
        <f>E123+E129+E131+E125</f>
        <v>9049.5</v>
      </c>
      <c r="F122" s="60"/>
      <c r="G122" s="60"/>
      <c r="H122" s="61">
        <f>I122+L122</f>
        <v>15579.3</v>
      </c>
      <c r="I122" s="60">
        <f t="shared" ref="I122:N122" si="26">I129+I131+I125</f>
        <v>579.29999999999995</v>
      </c>
      <c r="J122" s="60">
        <f t="shared" si="26"/>
        <v>0</v>
      </c>
      <c r="K122" s="60">
        <f t="shared" si="26"/>
        <v>0</v>
      </c>
      <c r="L122" s="60">
        <f t="shared" si="26"/>
        <v>15000</v>
      </c>
      <c r="M122" s="60">
        <f t="shared" si="26"/>
        <v>15000</v>
      </c>
      <c r="N122" s="60">
        <f t="shared" si="26"/>
        <v>15000</v>
      </c>
      <c r="O122" s="60">
        <f>H122+E122</f>
        <v>24628.799999999999</v>
      </c>
    </row>
    <row r="123" spans="1:15" s="84" customFormat="1" ht="47.25">
      <c r="B123" s="62" t="s">
        <v>241</v>
      </c>
      <c r="C123" s="62"/>
      <c r="D123" s="34" t="s">
        <v>240</v>
      </c>
      <c r="E123" s="60">
        <f>E124</f>
        <v>237.5</v>
      </c>
      <c r="F123" s="60"/>
      <c r="G123" s="60"/>
      <c r="H123" s="61"/>
      <c r="I123" s="60"/>
      <c r="J123" s="60"/>
      <c r="K123" s="60"/>
      <c r="L123" s="60"/>
      <c r="M123" s="60"/>
      <c r="N123" s="60"/>
      <c r="O123" s="60">
        <f t="shared" ref="O123:O124" si="27">H123+E123</f>
        <v>237.5</v>
      </c>
    </row>
    <row r="124" spans="1:15" s="44" customFormat="1" ht="47.25">
      <c r="B124" s="63" t="s">
        <v>242</v>
      </c>
      <c r="C124" s="63" t="s">
        <v>243</v>
      </c>
      <c r="D124" s="15" t="s">
        <v>254</v>
      </c>
      <c r="E124" s="79">
        <v>237.5</v>
      </c>
      <c r="F124" s="79"/>
      <c r="G124" s="79"/>
      <c r="H124" s="80"/>
      <c r="I124" s="79"/>
      <c r="J124" s="79"/>
      <c r="K124" s="79"/>
      <c r="L124" s="79"/>
      <c r="M124" s="79"/>
      <c r="N124" s="79"/>
      <c r="O124" s="79">
        <f t="shared" si="27"/>
        <v>237.5</v>
      </c>
    </row>
    <row r="125" spans="1:15" s="44" customFormat="1" ht="31.5">
      <c r="B125" s="62" t="s">
        <v>198</v>
      </c>
      <c r="C125" s="63"/>
      <c r="D125" s="34" t="s">
        <v>199</v>
      </c>
      <c r="E125" s="85"/>
      <c r="F125" s="85"/>
      <c r="G125" s="85"/>
      <c r="H125" s="85">
        <f>I125+M125</f>
        <v>15579.3</v>
      </c>
      <c r="I125" s="85">
        <f>I128+I126</f>
        <v>579.29999999999995</v>
      </c>
      <c r="J125" s="85"/>
      <c r="K125" s="85"/>
      <c r="L125" s="85">
        <f>L128+L126</f>
        <v>15000</v>
      </c>
      <c r="M125" s="85">
        <f>M128+M126</f>
        <v>15000</v>
      </c>
      <c r="N125" s="85">
        <f>N128+N126</f>
        <v>15000</v>
      </c>
      <c r="O125" s="41">
        <f t="shared" si="22"/>
        <v>15579.3</v>
      </c>
    </row>
    <row r="126" spans="1:15" s="44" customFormat="1" ht="31.5">
      <c r="B126" s="63" t="s">
        <v>214</v>
      </c>
      <c r="C126" s="63"/>
      <c r="D126" s="42" t="s">
        <v>215</v>
      </c>
      <c r="E126" s="82"/>
      <c r="F126" s="82"/>
      <c r="G126" s="82"/>
      <c r="H126" s="82">
        <f>I126+M126</f>
        <v>15000</v>
      </c>
      <c r="I126" s="82"/>
      <c r="J126" s="82"/>
      <c r="K126" s="82"/>
      <c r="L126" s="82">
        <f>L127</f>
        <v>15000</v>
      </c>
      <c r="M126" s="82">
        <f>M127</f>
        <v>15000</v>
      </c>
      <c r="N126" s="82">
        <f>N127</f>
        <v>15000</v>
      </c>
      <c r="O126" s="43">
        <f t="shared" si="22"/>
        <v>15000</v>
      </c>
    </row>
    <row r="127" spans="1:15" s="26" customFormat="1" ht="31.5">
      <c r="B127" s="18" t="s">
        <v>223</v>
      </c>
      <c r="C127" s="18" t="s">
        <v>224</v>
      </c>
      <c r="D127" s="59" t="s">
        <v>225</v>
      </c>
      <c r="E127" s="25"/>
      <c r="F127" s="25"/>
      <c r="G127" s="25"/>
      <c r="H127" s="25">
        <f>I127+M127</f>
        <v>15000</v>
      </c>
      <c r="I127" s="25"/>
      <c r="J127" s="25"/>
      <c r="K127" s="25"/>
      <c r="L127" s="25">
        <v>15000</v>
      </c>
      <c r="M127" s="25">
        <v>15000</v>
      </c>
      <c r="N127" s="25">
        <v>15000</v>
      </c>
      <c r="O127" s="83">
        <f t="shared" si="22"/>
        <v>15000</v>
      </c>
    </row>
    <row r="128" spans="1:15" ht="31.5">
      <c r="B128" s="21" t="s">
        <v>226</v>
      </c>
      <c r="C128" s="21" t="s">
        <v>81</v>
      </c>
      <c r="D128" s="15" t="s">
        <v>227</v>
      </c>
      <c r="E128" s="28"/>
      <c r="F128" s="29"/>
      <c r="G128" s="29"/>
      <c r="H128" s="28">
        <f t="shared" ref="H128" si="28">I128+M128</f>
        <v>579.29999999999995</v>
      </c>
      <c r="I128" s="28">
        <f>290+190+99.3</f>
        <v>579.29999999999995</v>
      </c>
      <c r="J128" s="28"/>
      <c r="K128" s="28"/>
      <c r="L128" s="28"/>
      <c r="M128" s="28"/>
      <c r="N128" s="28"/>
      <c r="O128" s="43">
        <f t="shared" si="22"/>
        <v>579.29999999999995</v>
      </c>
    </row>
    <row r="129" spans="2:17" s="23" customFormat="1" ht="15.75">
      <c r="B129" s="30" t="s">
        <v>160</v>
      </c>
      <c r="C129" s="30"/>
      <c r="D129" s="67" t="s">
        <v>18</v>
      </c>
      <c r="E129" s="12">
        <f>E130</f>
        <v>2812</v>
      </c>
      <c r="F129" s="12"/>
      <c r="G129" s="12"/>
      <c r="H129" s="19">
        <f>I129+L129</f>
        <v>0</v>
      </c>
      <c r="I129" s="12">
        <f t="shared" ref="I129:N129" si="29">I130</f>
        <v>0</v>
      </c>
      <c r="J129" s="12">
        <f t="shared" si="29"/>
        <v>0</v>
      </c>
      <c r="K129" s="12">
        <f t="shared" si="29"/>
        <v>0</v>
      </c>
      <c r="L129" s="12">
        <f t="shared" si="29"/>
        <v>0</v>
      </c>
      <c r="M129" s="12">
        <f t="shared" si="29"/>
        <v>0</v>
      </c>
      <c r="N129" s="12">
        <f t="shared" si="29"/>
        <v>0</v>
      </c>
      <c r="O129" s="12">
        <f>E129+H129</f>
        <v>2812</v>
      </c>
    </row>
    <row r="130" spans="2:17" ht="15.75" customHeight="1">
      <c r="B130" s="21" t="s">
        <v>161</v>
      </c>
      <c r="C130" s="21" t="s">
        <v>76</v>
      </c>
      <c r="D130" s="68" t="s">
        <v>159</v>
      </c>
      <c r="E130" s="2">
        <f>1100+1712</f>
        <v>2812</v>
      </c>
      <c r="F130" s="2"/>
      <c r="G130" s="2"/>
      <c r="H130" s="13">
        <f t="shared" ref="H130:H134" si="30">I130+L130</f>
        <v>0</v>
      </c>
      <c r="I130" s="13"/>
      <c r="J130" s="13"/>
      <c r="K130" s="13"/>
      <c r="L130" s="13"/>
      <c r="M130" s="13"/>
      <c r="N130" s="13"/>
      <c r="O130" s="2">
        <f t="shared" si="22"/>
        <v>2812</v>
      </c>
    </row>
    <row r="131" spans="2:17" ht="15.75">
      <c r="B131" s="30" t="s">
        <v>203</v>
      </c>
      <c r="C131" s="30" t="s">
        <v>82</v>
      </c>
      <c r="D131" s="69" t="s">
        <v>17</v>
      </c>
      <c r="E131" s="19">
        <f>1500+1500+3000</f>
        <v>6000</v>
      </c>
      <c r="F131" s="12"/>
      <c r="G131" s="12"/>
      <c r="H131" s="19">
        <f>I131+L131</f>
        <v>0</v>
      </c>
      <c r="I131" s="13"/>
      <c r="J131" s="13"/>
      <c r="K131" s="13"/>
      <c r="L131" s="13"/>
      <c r="M131" s="13"/>
      <c r="N131" s="13"/>
      <c r="O131" s="12">
        <f t="shared" si="22"/>
        <v>6000</v>
      </c>
    </row>
    <row r="132" spans="2:17" ht="18.75" customHeight="1">
      <c r="B132" s="30" t="s">
        <v>204</v>
      </c>
      <c r="C132" s="21"/>
      <c r="D132" s="31" t="s">
        <v>205</v>
      </c>
      <c r="E132" s="12">
        <f>E133</f>
        <v>46284</v>
      </c>
      <c r="F132" s="12"/>
      <c r="G132" s="12"/>
      <c r="H132" s="19">
        <f>I132+L132</f>
        <v>0</v>
      </c>
      <c r="I132" s="19">
        <f>I133+I134</f>
        <v>0</v>
      </c>
      <c r="J132" s="19"/>
      <c r="K132" s="19"/>
      <c r="L132" s="19">
        <f>L133+L134</f>
        <v>0</v>
      </c>
      <c r="M132" s="19"/>
      <c r="N132" s="19"/>
      <c r="O132" s="12">
        <f t="shared" si="22"/>
        <v>46284</v>
      </c>
    </row>
    <row r="133" spans="2:17">
      <c r="B133" s="21" t="s">
        <v>80</v>
      </c>
      <c r="C133" s="21"/>
      <c r="D133" s="48" t="s">
        <v>278</v>
      </c>
      <c r="E133" s="2">
        <f>E134</f>
        <v>46284</v>
      </c>
      <c r="F133" s="2"/>
      <c r="G133" s="2"/>
      <c r="H133" s="13">
        <f t="shared" si="30"/>
        <v>0</v>
      </c>
      <c r="I133" s="13"/>
      <c r="J133" s="13"/>
      <c r="K133" s="13"/>
      <c r="L133" s="13"/>
      <c r="M133" s="13"/>
      <c r="N133" s="13"/>
      <c r="O133" s="2">
        <f t="shared" si="22"/>
        <v>46284</v>
      </c>
    </row>
    <row r="134" spans="2:17" ht="15.75">
      <c r="B134" s="21" t="s">
        <v>206</v>
      </c>
      <c r="C134" s="21" t="s">
        <v>26</v>
      </c>
      <c r="D134" s="66" t="s">
        <v>207</v>
      </c>
      <c r="E134" s="2">
        <v>46284</v>
      </c>
      <c r="F134" s="2"/>
      <c r="G134" s="2"/>
      <c r="H134" s="13">
        <f t="shared" si="30"/>
        <v>0</v>
      </c>
      <c r="I134" s="13"/>
      <c r="J134" s="13"/>
      <c r="K134" s="13"/>
      <c r="L134" s="13"/>
      <c r="M134" s="13"/>
      <c r="N134" s="13"/>
      <c r="O134" s="50">
        <f t="shared" si="22"/>
        <v>46284</v>
      </c>
    </row>
    <row r="135" spans="2:17">
      <c r="B135" s="21"/>
      <c r="C135" s="21"/>
      <c r="D135" s="31" t="s">
        <v>10</v>
      </c>
      <c r="E135" s="19">
        <f>E15+E20+E35+E41+E81+E88+E96+E104+E122+E132</f>
        <v>658544.79999999993</v>
      </c>
      <c r="F135" s="19">
        <f>F15+F20+F35+F41+F81+F88+F96+F104+F122+F132</f>
        <v>246322.50000000003</v>
      </c>
      <c r="G135" s="19">
        <f>G15+G20+G35+G41+G81+G88+G96+G104+G122+G132</f>
        <v>26806.400000000009</v>
      </c>
      <c r="H135" s="19">
        <f>I135+L135</f>
        <v>157751.201</v>
      </c>
      <c r="I135" s="19">
        <f t="shared" ref="I135:N135" si="31">I15+I20+I35+I41+I81+I88+I96+I104+I122+I132</f>
        <v>19090.200999999997</v>
      </c>
      <c r="J135" s="19">
        <f t="shared" si="31"/>
        <v>233.8</v>
      </c>
      <c r="K135" s="19">
        <f t="shared" si="31"/>
        <v>0</v>
      </c>
      <c r="L135" s="19">
        <f t="shared" si="31"/>
        <v>138661</v>
      </c>
      <c r="M135" s="19">
        <f t="shared" si="31"/>
        <v>138607</v>
      </c>
      <c r="N135" s="19">
        <f t="shared" si="31"/>
        <v>132607</v>
      </c>
      <c r="O135" s="19">
        <f>E135+H135</f>
        <v>816296.00099999993</v>
      </c>
      <c r="Q135" s="38">
        <f>O132+O122+O104+O96+O88+O81+O41+O35+O20+O15</f>
        <v>816296.00100000005</v>
      </c>
    </row>
    <row r="136" spans="2:17">
      <c r="M136" s="38"/>
      <c r="N136" s="38"/>
      <c r="O136" s="38"/>
    </row>
    <row r="137" spans="2:17" s="44" customFormat="1" ht="15.75">
      <c r="B137" s="45"/>
      <c r="C137" s="45"/>
      <c r="D137" s="46" t="s">
        <v>123</v>
      </c>
      <c r="E137" s="47"/>
      <c r="F137" s="47"/>
      <c r="G137" s="47"/>
      <c r="H137" s="47"/>
      <c r="I137" s="47"/>
      <c r="J137" s="47"/>
      <c r="K137" s="47"/>
      <c r="L137" s="47"/>
      <c r="M137" s="47" t="s">
        <v>124</v>
      </c>
      <c r="N137" s="47"/>
      <c r="O137" s="47"/>
    </row>
    <row r="138" spans="2:17" s="55" customFormat="1">
      <c r="B138" s="3"/>
      <c r="C138" s="3"/>
      <c r="D138" s="54"/>
      <c r="K138" s="56"/>
    </row>
    <row r="139" spans="2:17"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</row>
    <row r="140" spans="2:17">
      <c r="E140" s="49"/>
      <c r="F140" s="49"/>
      <c r="G140" s="49"/>
      <c r="H140" s="49"/>
      <c r="I140" s="49"/>
      <c r="J140" s="49"/>
      <c r="K140" s="49">
        <v>0</v>
      </c>
      <c r="L140" s="49"/>
      <c r="M140" s="49"/>
      <c r="N140" s="49"/>
      <c r="O140" s="49"/>
    </row>
    <row r="141" spans="2:17">
      <c r="E141" s="49">
        <f>E135-E140</f>
        <v>658544.79999999993</v>
      </c>
      <c r="F141" s="49">
        <f>F135-F140</f>
        <v>246322.50000000003</v>
      </c>
      <c r="G141" s="49">
        <f>G135-G140</f>
        <v>26806.400000000009</v>
      </c>
      <c r="H141" s="49">
        <f>H135-H140</f>
        <v>157751.201</v>
      </c>
      <c r="I141" s="49">
        <f t="shared" ref="I141:L141" si="32">I135-I140</f>
        <v>19090.200999999997</v>
      </c>
      <c r="J141" s="49">
        <f t="shared" si="32"/>
        <v>233.8</v>
      </c>
      <c r="K141" s="49">
        <f t="shared" si="32"/>
        <v>0</v>
      </c>
      <c r="L141" s="49">
        <f t="shared" si="32"/>
        <v>138661</v>
      </c>
      <c r="M141" s="49"/>
      <c r="N141" s="49"/>
      <c r="O141" s="49"/>
    </row>
    <row r="142" spans="2:17">
      <c r="E142" s="49"/>
      <c r="F142" s="49"/>
      <c r="G142" s="49"/>
      <c r="H142" s="49"/>
      <c r="I142" s="49"/>
      <c r="J142" s="49">
        <f>J36+J37</f>
        <v>0</v>
      </c>
      <c r="K142" s="49">
        <f>K36+K37</f>
        <v>0</v>
      </c>
      <c r="L142" s="49"/>
      <c r="M142" s="49"/>
      <c r="N142" s="49"/>
      <c r="O142" s="49"/>
    </row>
    <row r="143" spans="2:17">
      <c r="E143" s="49">
        <f>E141-E142</f>
        <v>658544.79999999993</v>
      </c>
      <c r="F143" s="49">
        <f>F141-F142</f>
        <v>246322.50000000003</v>
      </c>
      <c r="G143" s="49">
        <f>G141-G142</f>
        <v>26806.400000000009</v>
      </c>
      <c r="H143" s="49">
        <f>H141-H142</f>
        <v>157751.201</v>
      </c>
      <c r="I143" s="49">
        <f t="shared" ref="I143:L143" si="33">I141-I142</f>
        <v>19090.200999999997</v>
      </c>
      <c r="J143" s="49">
        <f t="shared" si="33"/>
        <v>233.8</v>
      </c>
      <c r="K143" s="49">
        <f t="shared" si="33"/>
        <v>0</v>
      </c>
      <c r="L143" s="49">
        <f t="shared" si="33"/>
        <v>138661</v>
      </c>
      <c r="M143" s="49"/>
      <c r="N143" s="49"/>
      <c r="O143" s="49"/>
    </row>
    <row r="144" spans="2:17"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</row>
    <row r="145" spans="4:15"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</row>
    <row r="146" spans="4:15"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</row>
    <row r="147" spans="4:15"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</row>
    <row r="148" spans="4:15"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</row>
    <row r="149" spans="4:15"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</row>
    <row r="150" spans="4:15"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</row>
    <row r="151" spans="4:15"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</row>
    <row r="152" spans="4:15"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</row>
    <row r="154" spans="4:15"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</row>
    <row r="155" spans="4:15">
      <c r="D155" s="57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</row>
    <row r="156" spans="4:15"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</row>
    <row r="157" spans="4:15">
      <c r="H157" s="49"/>
      <c r="O157" s="49"/>
    </row>
    <row r="158" spans="4:15">
      <c r="H158" s="49"/>
      <c r="O158" s="49"/>
    </row>
    <row r="159" spans="4:15">
      <c r="H159" s="49"/>
      <c r="O159" s="49"/>
    </row>
    <row r="160" spans="4:15">
      <c r="H160" s="49"/>
      <c r="O160" s="49"/>
    </row>
    <row r="161" spans="5:15">
      <c r="H161" s="49"/>
      <c r="O161" s="49"/>
    </row>
    <row r="162" spans="5:15">
      <c r="H162" s="49"/>
      <c r="O162" s="49"/>
    </row>
    <row r="163" spans="5:15">
      <c r="H163" s="49"/>
      <c r="O163" s="49"/>
    </row>
    <row r="164" spans="5:15">
      <c r="H164" s="49"/>
      <c r="O164" s="49"/>
    </row>
    <row r="165" spans="5:15">
      <c r="H165" s="49"/>
      <c r="O165" s="49"/>
    </row>
    <row r="166" spans="5:15">
      <c r="E166" s="49"/>
      <c r="H166" s="49"/>
      <c r="I166" s="49"/>
      <c r="L166" s="49"/>
      <c r="M166" s="49"/>
      <c r="N166" s="49"/>
      <c r="O166" s="49"/>
    </row>
  </sheetData>
  <mergeCells count="22">
    <mergeCell ref="F12:F13"/>
    <mergeCell ref="G12:G13"/>
    <mergeCell ref="J12:J13"/>
    <mergeCell ref="K12:K13"/>
    <mergeCell ref="M12:M13"/>
    <mergeCell ref="L11:L13"/>
    <mergeCell ref="L2:N2"/>
    <mergeCell ref="B6:O6"/>
    <mergeCell ref="B7:O7"/>
    <mergeCell ref="D8:O8"/>
    <mergeCell ref="B10:B13"/>
    <mergeCell ref="C10:C13"/>
    <mergeCell ref="D10:D13"/>
    <mergeCell ref="E10:G10"/>
    <mergeCell ref="H10:N10"/>
    <mergeCell ref="O10:O13"/>
    <mergeCell ref="E11:E13"/>
    <mergeCell ref="F11:G11"/>
    <mergeCell ref="H11:H13"/>
    <mergeCell ref="I11:I13"/>
    <mergeCell ref="J11:K11"/>
    <mergeCell ref="M11:N11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69"/>
  <sheetViews>
    <sheetView view="pageBreakPreview" zoomScale="75" zoomScaleSheetLayoutView="75" workbookViewId="0">
      <pane xSplit="4" ySplit="10" topLeftCell="F65" activePane="bottomRight" state="frozen"/>
      <selection pane="topRight" activeCell="E1" sqref="E1"/>
      <selection pane="bottomLeft" activeCell="A11" sqref="A11"/>
      <selection pane="bottomRight" activeCell="O79" sqref="O79"/>
    </sheetView>
  </sheetViews>
  <sheetFormatPr defaultRowHeight="15"/>
  <cols>
    <col min="1" max="1" width="0.42578125" style="55" customWidth="1"/>
    <col min="2" max="3" width="9.140625" style="3"/>
    <col min="4" max="4" width="48" style="109" customWidth="1"/>
    <col min="5" max="5" width="15.7109375" style="55" customWidth="1"/>
    <col min="6" max="6" width="15.42578125" style="55" customWidth="1"/>
    <col min="7" max="8" width="15.7109375" style="55" customWidth="1"/>
    <col min="9" max="9" width="15.140625" style="55" customWidth="1"/>
    <col min="10" max="10" width="14.85546875" style="55" customWidth="1"/>
    <col min="11" max="11" width="14.140625" style="55" customWidth="1"/>
    <col min="12" max="12" width="18.85546875" style="55" customWidth="1"/>
    <col min="13" max="13" width="17" style="55" customWidth="1"/>
    <col min="14" max="14" width="18.140625" style="55" customWidth="1"/>
    <col min="15" max="15" width="15.140625" style="55" customWidth="1"/>
    <col min="16" max="16" width="11.85546875" style="55" customWidth="1"/>
    <col min="17" max="17" width="13.7109375" style="55" bestFit="1" customWidth="1"/>
    <col min="18" max="16384" width="9.140625" style="55"/>
  </cols>
  <sheetData>
    <row r="1" spans="1:15">
      <c r="L1" s="8" t="s">
        <v>293</v>
      </c>
      <c r="M1" s="5"/>
    </row>
    <row r="2" spans="1:15">
      <c r="L2" s="146" t="s">
        <v>308</v>
      </c>
      <c r="M2" s="146"/>
      <c r="N2" s="146"/>
    </row>
    <row r="3" spans="1:15">
      <c r="L3" s="124" t="s">
        <v>307</v>
      </c>
      <c r="M3" s="110"/>
      <c r="N3" s="111"/>
    </row>
    <row r="4" spans="1:15" ht="20.25">
      <c r="B4" s="142" t="s">
        <v>283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</row>
    <row r="5" spans="1:15">
      <c r="O5" s="112" t="s">
        <v>0</v>
      </c>
    </row>
    <row r="6" spans="1:15" ht="15" customHeight="1">
      <c r="B6" s="144" t="s">
        <v>22</v>
      </c>
      <c r="C6" s="144" t="s">
        <v>23</v>
      </c>
      <c r="D6" s="144" t="s">
        <v>238</v>
      </c>
      <c r="E6" s="144" t="s">
        <v>1</v>
      </c>
      <c r="F6" s="144"/>
      <c r="G6" s="144"/>
      <c r="H6" s="144" t="s">
        <v>5</v>
      </c>
      <c r="I6" s="144"/>
      <c r="J6" s="144"/>
      <c r="K6" s="144"/>
      <c r="L6" s="144"/>
      <c r="M6" s="144"/>
      <c r="N6" s="144"/>
      <c r="O6" s="144" t="s">
        <v>10</v>
      </c>
    </row>
    <row r="7" spans="1:15">
      <c r="B7" s="144"/>
      <c r="C7" s="144"/>
      <c r="D7" s="144"/>
      <c r="E7" s="144" t="s">
        <v>2</v>
      </c>
      <c r="F7" s="144" t="s">
        <v>3</v>
      </c>
      <c r="G7" s="144"/>
      <c r="H7" s="144" t="s">
        <v>2</v>
      </c>
      <c r="I7" s="144" t="s">
        <v>6</v>
      </c>
      <c r="J7" s="144" t="s">
        <v>3</v>
      </c>
      <c r="K7" s="144"/>
      <c r="L7" s="144" t="s">
        <v>7</v>
      </c>
      <c r="M7" s="144" t="s">
        <v>3</v>
      </c>
      <c r="N7" s="144"/>
      <c r="O7" s="144"/>
    </row>
    <row r="8" spans="1:15">
      <c r="B8" s="144"/>
      <c r="C8" s="144"/>
      <c r="D8" s="144"/>
      <c r="E8" s="144"/>
      <c r="F8" s="144" t="s">
        <v>16</v>
      </c>
      <c r="G8" s="144" t="s">
        <v>4</v>
      </c>
      <c r="H8" s="144"/>
      <c r="I8" s="144"/>
      <c r="J8" s="144" t="s">
        <v>16</v>
      </c>
      <c r="K8" s="144" t="s">
        <v>4</v>
      </c>
      <c r="L8" s="144"/>
      <c r="M8" s="144" t="s">
        <v>8</v>
      </c>
      <c r="N8" s="108" t="s">
        <v>3</v>
      </c>
      <c r="O8" s="144"/>
    </row>
    <row r="9" spans="1:15" ht="75.75" customHeight="1"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0" t="s">
        <v>9</v>
      </c>
      <c r="O9" s="144"/>
    </row>
    <row r="10" spans="1:15">
      <c r="B10" s="11">
        <v>1</v>
      </c>
      <c r="C10" s="11">
        <v>2</v>
      </c>
      <c r="D10" s="108">
        <v>3</v>
      </c>
      <c r="E10" s="108">
        <v>4</v>
      </c>
      <c r="F10" s="108">
        <v>5</v>
      </c>
      <c r="G10" s="108">
        <v>6</v>
      </c>
      <c r="H10" s="108">
        <v>7</v>
      </c>
      <c r="I10" s="108">
        <v>8</v>
      </c>
      <c r="J10" s="108">
        <v>9</v>
      </c>
      <c r="K10" s="108">
        <v>10</v>
      </c>
      <c r="L10" s="108">
        <v>11</v>
      </c>
      <c r="M10" s="108">
        <v>12</v>
      </c>
      <c r="N10" s="108">
        <v>13</v>
      </c>
      <c r="O10" s="108" t="s">
        <v>24</v>
      </c>
    </row>
    <row r="11" spans="1:15" ht="18.75" customHeight="1">
      <c r="B11" s="30" t="s">
        <v>25</v>
      </c>
      <c r="C11" s="21"/>
      <c r="D11" s="31" t="s">
        <v>11</v>
      </c>
      <c r="E11" s="61">
        <f>E12+E13+E14+E15</f>
        <v>668.44</v>
      </c>
      <c r="F11" s="61">
        <f t="shared" ref="F11:G11" si="0">F12+F13+F14+F15</f>
        <v>0</v>
      </c>
      <c r="G11" s="61">
        <f t="shared" si="0"/>
        <v>0</v>
      </c>
      <c r="H11" s="61">
        <f>I11+L11</f>
        <v>-14693.8</v>
      </c>
      <c r="I11" s="61">
        <f>I12+I13+I14+I15</f>
        <v>0</v>
      </c>
      <c r="J11" s="61"/>
      <c r="K11" s="61"/>
      <c r="L11" s="61">
        <f>L12+L13+L15</f>
        <v>-14693.8</v>
      </c>
      <c r="M11" s="61">
        <f t="shared" ref="M11:N11" si="1">M12+M13+M15</f>
        <v>-14693.8</v>
      </c>
      <c r="N11" s="61">
        <f t="shared" si="1"/>
        <v>-14693.8</v>
      </c>
      <c r="O11" s="61">
        <f>E11+H11</f>
        <v>-14025.359999999999</v>
      </c>
    </row>
    <row r="12" spans="1:15" ht="75">
      <c r="B12" s="21" t="s">
        <v>139</v>
      </c>
      <c r="C12" s="21" t="s">
        <v>27</v>
      </c>
      <c r="D12" s="70" t="s">
        <v>138</v>
      </c>
      <c r="E12" s="80"/>
      <c r="F12" s="80"/>
      <c r="G12" s="80"/>
      <c r="H12" s="80">
        <f>I12+L12</f>
        <v>17</v>
      </c>
      <c r="I12" s="80"/>
      <c r="J12" s="80"/>
      <c r="K12" s="80"/>
      <c r="L12" s="80">
        <v>17</v>
      </c>
      <c r="M12" s="80">
        <v>17</v>
      </c>
      <c r="N12" s="80">
        <v>17</v>
      </c>
      <c r="O12" s="80">
        <f>E12+H12</f>
        <v>17</v>
      </c>
    </row>
    <row r="13" spans="1:15" ht="47.25" customHeight="1">
      <c r="B13" s="21" t="s">
        <v>141</v>
      </c>
      <c r="C13" s="21" t="s">
        <v>27</v>
      </c>
      <c r="D13" s="71" t="s">
        <v>271</v>
      </c>
      <c r="E13" s="80">
        <f>198.72+198.72-23</f>
        <v>374.44</v>
      </c>
      <c r="F13" s="80"/>
      <c r="G13" s="80"/>
      <c r="H13" s="80">
        <f>I13+L13</f>
        <v>0</v>
      </c>
      <c r="I13" s="80"/>
      <c r="J13" s="80"/>
      <c r="K13" s="80"/>
      <c r="L13" s="80"/>
      <c r="M13" s="80"/>
      <c r="N13" s="80"/>
      <c r="O13" s="80">
        <f>E13+H13</f>
        <v>374.44</v>
      </c>
    </row>
    <row r="14" spans="1:15" ht="28.5" hidden="1" customHeight="1">
      <c r="B14" s="21" t="s">
        <v>188</v>
      </c>
      <c r="C14" s="21" t="s">
        <v>189</v>
      </c>
      <c r="D14" s="71" t="s">
        <v>190</v>
      </c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>
        <f t="shared" ref="O14:O94" si="2">E14+H14</f>
        <v>0</v>
      </c>
    </row>
    <row r="15" spans="1:15" ht="19.5" customHeight="1">
      <c r="A15" s="55" t="s">
        <v>210</v>
      </c>
      <c r="B15" s="21" t="s">
        <v>26</v>
      </c>
      <c r="C15" s="21" t="s">
        <v>82</v>
      </c>
      <c r="D15" s="66" t="s">
        <v>200</v>
      </c>
      <c r="E15" s="80">
        <f>186+85+23</f>
        <v>294</v>
      </c>
      <c r="F15" s="80"/>
      <c r="G15" s="80"/>
      <c r="H15" s="80">
        <f t="shared" ref="H15" si="3">I15+L15</f>
        <v>-14710.8</v>
      </c>
      <c r="I15" s="80"/>
      <c r="J15" s="80"/>
      <c r="K15" s="80"/>
      <c r="L15" s="80">
        <f>-11000-512-1500-135-120-313-767.5-363.3</f>
        <v>-14710.8</v>
      </c>
      <c r="M15" s="80">
        <f>-11000-512-1500-135-120-313-767.5-363.3</f>
        <v>-14710.8</v>
      </c>
      <c r="N15" s="80">
        <f>-11000-512-1500-135-120-313-767.5-363.3</f>
        <v>-14710.8</v>
      </c>
      <c r="O15" s="80">
        <f t="shared" si="2"/>
        <v>-14416.8</v>
      </c>
    </row>
    <row r="16" spans="1:15" ht="15" customHeight="1">
      <c r="A16" s="113"/>
      <c r="B16" s="30" t="s">
        <v>28</v>
      </c>
      <c r="C16" s="21"/>
      <c r="D16" s="31" t="s">
        <v>12</v>
      </c>
      <c r="E16" s="61">
        <f>E17+E18+E20+E22+E25+E26+E27</f>
        <v>838.72</v>
      </c>
      <c r="F16" s="61">
        <f t="shared" ref="F16:G16" si="4">F17+F18+F20+F22+F25+F26</f>
        <v>0</v>
      </c>
      <c r="G16" s="61">
        <f t="shared" si="4"/>
        <v>0</v>
      </c>
      <c r="H16" s="61">
        <f>I16+L16</f>
        <v>2702.0665199999999</v>
      </c>
      <c r="I16" s="61">
        <f>I17+I18+I20+I22+I25+I26</f>
        <v>-50</v>
      </c>
      <c r="J16" s="61">
        <f t="shared" ref="J16:N16" si="5">J17+J18+J20+J22+J25+J26</f>
        <v>0</v>
      </c>
      <c r="K16" s="61">
        <f t="shared" si="5"/>
        <v>0</v>
      </c>
      <c r="L16" s="61">
        <f t="shared" si="5"/>
        <v>2752.0665199999999</v>
      </c>
      <c r="M16" s="61">
        <f t="shared" si="5"/>
        <v>2702.0665199999999</v>
      </c>
      <c r="N16" s="61">
        <f t="shared" si="5"/>
        <v>2702.0665199999999</v>
      </c>
      <c r="O16" s="61">
        <f>E16+H16</f>
        <v>3540.7865199999997</v>
      </c>
    </row>
    <row r="17" spans="2:15" s="114" customFormat="1" ht="14.25" customHeight="1">
      <c r="B17" s="21" t="s">
        <v>30</v>
      </c>
      <c r="C17" s="21" t="s">
        <v>29</v>
      </c>
      <c r="D17" s="48" t="s">
        <v>162</v>
      </c>
      <c r="E17" s="80">
        <f>38.72+200</f>
        <v>238.72</v>
      </c>
      <c r="F17" s="80"/>
      <c r="G17" s="80"/>
      <c r="H17" s="80">
        <f>I17+L17</f>
        <v>960</v>
      </c>
      <c r="I17" s="80"/>
      <c r="J17" s="80"/>
      <c r="K17" s="80"/>
      <c r="L17" s="80">
        <v>960</v>
      </c>
      <c r="M17" s="80">
        <v>960</v>
      </c>
      <c r="N17" s="80">
        <v>960</v>
      </c>
      <c r="O17" s="80">
        <f>E17+H17</f>
        <v>1198.72</v>
      </c>
    </row>
    <row r="18" spans="2:15" ht="71.25" customHeight="1">
      <c r="B18" s="21" t="s">
        <v>31</v>
      </c>
      <c r="C18" s="21" t="s">
        <v>32</v>
      </c>
      <c r="D18" s="71" t="s">
        <v>33</v>
      </c>
      <c r="E18" s="80">
        <f>60+300</f>
        <v>360</v>
      </c>
      <c r="F18" s="80"/>
      <c r="G18" s="80"/>
      <c r="H18" s="80">
        <f>I18+L18</f>
        <v>1300</v>
      </c>
      <c r="I18" s="80"/>
      <c r="J18" s="80"/>
      <c r="K18" s="80"/>
      <c r="L18" s="80">
        <f>700+600</f>
        <v>1300</v>
      </c>
      <c r="M18" s="80">
        <f>700+600</f>
        <v>1300</v>
      </c>
      <c r="N18" s="80">
        <f>700+600</f>
        <v>1300</v>
      </c>
      <c r="O18" s="80">
        <f>E18+H18</f>
        <v>1660</v>
      </c>
    </row>
    <row r="19" spans="2:15" ht="72" customHeight="1">
      <c r="B19" s="21"/>
      <c r="C19" s="21"/>
      <c r="D19" s="72" t="s">
        <v>300</v>
      </c>
      <c r="E19" s="103">
        <v>300</v>
      </c>
      <c r="F19" s="103"/>
      <c r="G19" s="103"/>
      <c r="H19" s="103">
        <f>I19+L19</f>
        <v>700</v>
      </c>
      <c r="I19" s="103"/>
      <c r="J19" s="103"/>
      <c r="K19" s="103"/>
      <c r="L19" s="103">
        <v>700</v>
      </c>
      <c r="M19" s="103">
        <v>700</v>
      </c>
      <c r="N19" s="103">
        <v>700</v>
      </c>
      <c r="O19" s="103">
        <f t="shared" si="2"/>
        <v>1000</v>
      </c>
    </row>
    <row r="20" spans="2:15" ht="30" hidden="1">
      <c r="B20" s="21" t="s">
        <v>34</v>
      </c>
      <c r="C20" s="21" t="s">
        <v>32</v>
      </c>
      <c r="D20" s="71" t="s">
        <v>35</v>
      </c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>
        <f t="shared" si="2"/>
        <v>0</v>
      </c>
    </row>
    <row r="21" spans="2:15" ht="60" hidden="1">
      <c r="B21" s="21"/>
      <c r="C21" s="21"/>
      <c r="D21" s="72" t="s">
        <v>20</v>
      </c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>
        <f t="shared" si="2"/>
        <v>0</v>
      </c>
    </row>
    <row r="22" spans="2:15" ht="72" customHeight="1">
      <c r="B22" s="21" t="s">
        <v>74</v>
      </c>
      <c r="C22" s="21" t="s">
        <v>37</v>
      </c>
      <c r="D22" s="71" t="s">
        <v>122</v>
      </c>
      <c r="E22" s="80">
        <v>80</v>
      </c>
      <c r="F22" s="80"/>
      <c r="G22" s="80"/>
      <c r="H22" s="80">
        <f>I22+L22</f>
        <v>322.06652000000003</v>
      </c>
      <c r="I22" s="80"/>
      <c r="J22" s="80"/>
      <c r="K22" s="80"/>
      <c r="L22" s="80">
        <f>L24+40</f>
        <v>322.06652000000003</v>
      </c>
      <c r="M22" s="80">
        <f>M24+40</f>
        <v>322.06652000000003</v>
      </c>
      <c r="N22" s="80">
        <f>N24+40</f>
        <v>322.06652000000003</v>
      </c>
      <c r="O22" s="80">
        <f t="shared" si="2"/>
        <v>402.06652000000003</v>
      </c>
    </row>
    <row r="23" spans="2:15" ht="60" hidden="1">
      <c r="B23" s="21"/>
      <c r="C23" s="21"/>
      <c r="D23" s="72" t="s">
        <v>20</v>
      </c>
      <c r="E23" s="103"/>
      <c r="F23" s="103"/>
      <c r="G23" s="80"/>
      <c r="H23" s="80"/>
      <c r="I23" s="80"/>
      <c r="J23" s="80"/>
      <c r="K23" s="80"/>
      <c r="L23" s="80"/>
      <c r="M23" s="80"/>
      <c r="N23" s="80"/>
      <c r="O23" s="80">
        <f t="shared" si="2"/>
        <v>0</v>
      </c>
    </row>
    <row r="24" spans="2:15" ht="72" customHeight="1">
      <c r="B24" s="21"/>
      <c r="C24" s="21"/>
      <c r="D24" s="72" t="s">
        <v>299</v>
      </c>
      <c r="E24" s="103"/>
      <c r="F24" s="103"/>
      <c r="G24" s="80"/>
      <c r="H24" s="80">
        <f>I24+L24</f>
        <v>282.06652000000003</v>
      </c>
      <c r="I24" s="80"/>
      <c r="J24" s="80"/>
      <c r="K24" s="80"/>
      <c r="L24" s="103">
        <v>282.06652000000003</v>
      </c>
      <c r="M24" s="80">
        <v>282.06652000000003</v>
      </c>
      <c r="N24" s="80">
        <v>282.06652000000003</v>
      </c>
      <c r="O24" s="103">
        <f t="shared" si="2"/>
        <v>282.06652000000003</v>
      </c>
    </row>
    <row r="25" spans="2:15" ht="47.25" customHeight="1">
      <c r="B25" s="21" t="s">
        <v>38</v>
      </c>
      <c r="C25" s="21" t="s">
        <v>39</v>
      </c>
      <c r="D25" s="71" t="s">
        <v>40</v>
      </c>
      <c r="E25" s="80">
        <f>40+100</f>
        <v>140</v>
      </c>
      <c r="F25" s="80"/>
      <c r="G25" s="80"/>
      <c r="H25" s="80">
        <f>I25+L25</f>
        <v>0</v>
      </c>
      <c r="I25" s="80"/>
      <c r="J25" s="80"/>
      <c r="K25" s="80"/>
      <c r="L25" s="80"/>
      <c r="M25" s="80"/>
      <c r="N25" s="80"/>
      <c r="O25" s="80">
        <f t="shared" si="2"/>
        <v>140</v>
      </c>
    </row>
    <row r="26" spans="2:15" ht="60.75" customHeight="1">
      <c r="B26" s="21" t="s">
        <v>145</v>
      </c>
      <c r="C26" s="21" t="s">
        <v>39</v>
      </c>
      <c r="D26" s="71" t="s">
        <v>146</v>
      </c>
      <c r="E26" s="80"/>
      <c r="F26" s="80"/>
      <c r="G26" s="80"/>
      <c r="H26" s="80">
        <f>I26+L26</f>
        <v>120</v>
      </c>
      <c r="I26" s="80">
        <v>-50</v>
      </c>
      <c r="J26" s="80"/>
      <c r="K26" s="80"/>
      <c r="L26" s="80">
        <f>50+120</f>
        <v>170</v>
      </c>
      <c r="M26" s="80">
        <v>120</v>
      </c>
      <c r="N26" s="80">
        <v>120</v>
      </c>
      <c r="O26" s="80">
        <f t="shared" si="2"/>
        <v>120</v>
      </c>
    </row>
    <row r="27" spans="2:15" ht="21" customHeight="1">
      <c r="B27" s="21" t="s">
        <v>143</v>
      </c>
      <c r="C27" s="21"/>
      <c r="D27" s="71" t="s">
        <v>144</v>
      </c>
      <c r="E27" s="80">
        <f>E28</f>
        <v>20</v>
      </c>
      <c r="F27" s="80"/>
      <c r="G27" s="80"/>
      <c r="H27" s="80"/>
      <c r="I27" s="80"/>
      <c r="J27" s="80"/>
      <c r="K27" s="80"/>
      <c r="L27" s="80"/>
      <c r="M27" s="80"/>
      <c r="N27" s="80"/>
      <c r="O27" s="80">
        <f t="shared" si="2"/>
        <v>20</v>
      </c>
    </row>
    <row r="28" spans="2:15" ht="34.5" customHeight="1">
      <c r="B28" s="18" t="s">
        <v>246</v>
      </c>
      <c r="C28" s="18" t="s">
        <v>43</v>
      </c>
      <c r="D28" s="92" t="s">
        <v>247</v>
      </c>
      <c r="E28" s="103">
        <v>20</v>
      </c>
      <c r="F28" s="103"/>
      <c r="G28" s="103"/>
      <c r="H28" s="103"/>
      <c r="I28" s="103"/>
      <c r="J28" s="103"/>
      <c r="K28" s="103"/>
      <c r="L28" s="103"/>
      <c r="M28" s="103"/>
      <c r="N28" s="103"/>
      <c r="O28" s="103">
        <f t="shared" si="2"/>
        <v>20</v>
      </c>
    </row>
    <row r="29" spans="2:15" s="115" customFormat="1" ht="15.75">
      <c r="B29" s="30" t="s">
        <v>44</v>
      </c>
      <c r="C29" s="30"/>
      <c r="D29" s="74" t="s">
        <v>21</v>
      </c>
      <c r="E29" s="61">
        <f>E30+E35+E36</f>
        <v>3812.4</v>
      </c>
      <c r="F29" s="61">
        <f>F30</f>
        <v>0</v>
      </c>
      <c r="G29" s="61"/>
      <c r="H29" s="61">
        <f t="shared" ref="H29" si="6">I29+L29</f>
        <v>1481.98786</v>
      </c>
      <c r="I29" s="61">
        <f t="shared" ref="I29:N29" si="7">I30+I35</f>
        <v>0</v>
      </c>
      <c r="J29" s="61">
        <f t="shared" si="7"/>
        <v>0</v>
      </c>
      <c r="K29" s="61">
        <f t="shared" si="7"/>
        <v>0</v>
      </c>
      <c r="L29" s="61">
        <f t="shared" si="7"/>
        <v>1481.98786</v>
      </c>
      <c r="M29" s="61">
        <f t="shared" si="7"/>
        <v>1481.98786</v>
      </c>
      <c r="N29" s="61">
        <f t="shared" si="7"/>
        <v>1481.98786</v>
      </c>
      <c r="O29" s="85">
        <f t="shared" ref="O29:O41" si="8">E29+H29</f>
        <v>5294.3878599999998</v>
      </c>
    </row>
    <row r="30" spans="2:15" ht="34.5" customHeight="1">
      <c r="B30" s="21" t="s">
        <v>45</v>
      </c>
      <c r="C30" s="21" t="s">
        <v>46</v>
      </c>
      <c r="D30" s="15" t="s">
        <v>47</v>
      </c>
      <c r="E30" s="82">
        <f>3612.4+100+100</f>
        <v>3812.4</v>
      </c>
      <c r="F30" s="82"/>
      <c r="G30" s="82"/>
      <c r="H30" s="82">
        <f>I30+L30</f>
        <v>1481.98786</v>
      </c>
      <c r="I30" s="82"/>
      <c r="J30" s="82"/>
      <c r="K30" s="82"/>
      <c r="L30" s="82">
        <f>1331.5615+150.42636</f>
        <v>1481.98786</v>
      </c>
      <c r="M30" s="82">
        <f>1331.5615+150.42636</f>
        <v>1481.98786</v>
      </c>
      <c r="N30" s="82">
        <f>1331.5615+150.42636</f>
        <v>1481.98786</v>
      </c>
      <c r="O30" s="82">
        <f t="shared" si="8"/>
        <v>5294.3878599999998</v>
      </c>
    </row>
    <row r="31" spans="2:15" s="44" customFormat="1" ht="31.5" customHeight="1">
      <c r="B31" s="63"/>
      <c r="C31" s="63"/>
      <c r="D31" s="17" t="s">
        <v>303</v>
      </c>
      <c r="E31" s="102">
        <f>E33+E34</f>
        <v>58285.8</v>
      </c>
      <c r="F31" s="102"/>
      <c r="G31" s="82"/>
      <c r="H31" s="102">
        <f>H33+H34</f>
        <v>0</v>
      </c>
      <c r="I31" s="102"/>
      <c r="J31" s="102"/>
      <c r="K31" s="102"/>
      <c r="L31" s="102"/>
      <c r="M31" s="102"/>
      <c r="N31" s="102"/>
      <c r="O31" s="102">
        <f t="shared" si="8"/>
        <v>58285.8</v>
      </c>
    </row>
    <row r="32" spans="2:15" s="44" customFormat="1" ht="12.75" customHeight="1">
      <c r="B32" s="63"/>
      <c r="C32" s="63"/>
      <c r="D32" s="17" t="s">
        <v>304</v>
      </c>
      <c r="E32" s="102"/>
      <c r="F32" s="102"/>
      <c r="G32" s="82"/>
      <c r="H32" s="102"/>
      <c r="I32" s="102"/>
      <c r="J32" s="102"/>
      <c r="K32" s="102"/>
      <c r="L32" s="102"/>
      <c r="M32" s="102"/>
      <c r="N32" s="102"/>
      <c r="O32" s="102"/>
    </row>
    <row r="33" spans="2:17" s="44" customFormat="1" ht="17.25" customHeight="1">
      <c r="B33" s="63"/>
      <c r="C33" s="63"/>
      <c r="D33" s="17" t="s">
        <v>292</v>
      </c>
      <c r="E33" s="102">
        <f>9753.2</f>
        <v>9753.2000000000007</v>
      </c>
      <c r="F33" s="102"/>
      <c r="G33" s="82"/>
      <c r="H33" s="102">
        <f t="shared" ref="H33:H34" si="9">I33+L33</f>
        <v>0</v>
      </c>
      <c r="I33" s="102"/>
      <c r="J33" s="102"/>
      <c r="K33" s="102"/>
      <c r="L33" s="102"/>
      <c r="M33" s="102"/>
      <c r="N33" s="102"/>
      <c r="O33" s="102">
        <f t="shared" si="8"/>
        <v>9753.2000000000007</v>
      </c>
    </row>
    <row r="34" spans="2:17" s="44" customFormat="1" ht="18" customHeight="1">
      <c r="B34" s="63"/>
      <c r="C34" s="63"/>
      <c r="D34" s="17" t="s">
        <v>298</v>
      </c>
      <c r="E34" s="102">
        <v>48532.6</v>
      </c>
      <c r="F34" s="102"/>
      <c r="G34" s="82"/>
      <c r="H34" s="102">
        <f t="shared" si="9"/>
        <v>0</v>
      </c>
      <c r="I34" s="102"/>
      <c r="J34" s="102"/>
      <c r="K34" s="102"/>
      <c r="L34" s="102"/>
      <c r="M34" s="102"/>
      <c r="N34" s="102"/>
      <c r="O34" s="102">
        <f t="shared" si="8"/>
        <v>48532.6</v>
      </c>
    </row>
    <row r="35" spans="2:17" ht="19.5" hidden="1" customHeight="1">
      <c r="B35" s="21" t="s">
        <v>140</v>
      </c>
      <c r="C35" s="21" t="s">
        <v>48</v>
      </c>
      <c r="D35" s="15" t="s">
        <v>274</v>
      </c>
      <c r="E35" s="82"/>
      <c r="F35" s="82"/>
      <c r="G35" s="82"/>
      <c r="H35" s="82">
        <f>I35+L35</f>
        <v>0</v>
      </c>
      <c r="I35" s="82"/>
      <c r="J35" s="82"/>
      <c r="K35" s="82"/>
      <c r="L35" s="82"/>
      <c r="M35" s="82"/>
      <c r="N35" s="82"/>
      <c r="O35" s="82">
        <f t="shared" si="8"/>
        <v>0</v>
      </c>
    </row>
    <row r="36" spans="2:17" ht="31.5" hidden="1" customHeight="1">
      <c r="B36" s="21" t="s">
        <v>232</v>
      </c>
      <c r="C36" s="21"/>
      <c r="D36" s="39" t="s">
        <v>231</v>
      </c>
      <c r="E36" s="82">
        <f>E37+E38</f>
        <v>0</v>
      </c>
      <c r="F36" s="82"/>
      <c r="G36" s="82"/>
      <c r="H36" s="82">
        <f t="shared" ref="H36:H38" si="10">I36+L36</f>
        <v>0</v>
      </c>
      <c r="I36" s="82"/>
      <c r="J36" s="82"/>
      <c r="K36" s="82"/>
      <c r="L36" s="82"/>
      <c r="M36" s="82"/>
      <c r="N36" s="82"/>
      <c r="O36" s="82">
        <f>E36+H36</f>
        <v>0</v>
      </c>
    </row>
    <row r="37" spans="2:17" s="116" customFormat="1" ht="33" hidden="1" customHeight="1">
      <c r="B37" s="18" t="s">
        <v>235</v>
      </c>
      <c r="C37" s="18" t="s">
        <v>237</v>
      </c>
      <c r="D37" s="17" t="s">
        <v>233</v>
      </c>
      <c r="E37" s="102"/>
      <c r="F37" s="102"/>
      <c r="G37" s="102"/>
      <c r="H37" s="82">
        <f t="shared" si="10"/>
        <v>0</v>
      </c>
      <c r="I37" s="102"/>
      <c r="J37" s="102"/>
      <c r="K37" s="102"/>
      <c r="L37" s="102"/>
      <c r="M37" s="102"/>
      <c r="N37" s="102"/>
      <c r="O37" s="102">
        <f>E37+H37</f>
        <v>0</v>
      </c>
    </row>
    <row r="38" spans="2:17" s="116" customFormat="1" ht="33.75" hidden="1" customHeight="1">
      <c r="B38" s="18" t="s">
        <v>236</v>
      </c>
      <c r="C38" s="18" t="s">
        <v>237</v>
      </c>
      <c r="D38" s="17" t="s">
        <v>234</v>
      </c>
      <c r="E38" s="102"/>
      <c r="F38" s="102"/>
      <c r="G38" s="102"/>
      <c r="H38" s="82">
        <f t="shared" si="10"/>
        <v>0</v>
      </c>
      <c r="I38" s="102"/>
      <c r="J38" s="102"/>
      <c r="K38" s="102"/>
      <c r="L38" s="102"/>
      <c r="M38" s="102"/>
      <c r="N38" s="102"/>
      <c r="O38" s="102">
        <f>E38+H38</f>
        <v>0</v>
      </c>
    </row>
    <row r="39" spans="2:17" s="64" customFormat="1" ht="31.5">
      <c r="B39" s="62" t="s">
        <v>49</v>
      </c>
      <c r="C39" s="63"/>
      <c r="D39" s="34" t="s">
        <v>13</v>
      </c>
      <c r="E39" s="61">
        <f>E40+E43+E46+E49+E57+E61+E63+E65+E68+E70+E71+E72+E73+E76+E77+E75</f>
        <v>5081.8</v>
      </c>
      <c r="F39" s="61">
        <f>F40+F43+F46+F49+F60+F61+F63+F65+F68+F70+F71+F72+F73+F76+F77+F75</f>
        <v>0</v>
      </c>
      <c r="G39" s="61">
        <f>G40+G43+G46+G49+G60+G61+G63+G65+G68+G70+G71+G72+G73+G76+G77+G75</f>
        <v>0</v>
      </c>
      <c r="H39" s="61">
        <f>L39+I39</f>
        <v>0</v>
      </c>
      <c r="I39" s="61">
        <f t="shared" ref="I39:N39" si="11">I40+I43+I46+I49+I60+I61+I63+I65+I68+I70+I71+I72+I73+I76+I77+I75</f>
        <v>0</v>
      </c>
      <c r="J39" s="61">
        <f t="shared" si="11"/>
        <v>0</v>
      </c>
      <c r="K39" s="61">
        <f t="shared" si="11"/>
        <v>0</v>
      </c>
      <c r="L39" s="61">
        <f t="shared" si="11"/>
        <v>0</v>
      </c>
      <c r="M39" s="61">
        <f t="shared" si="11"/>
        <v>0</v>
      </c>
      <c r="N39" s="61">
        <f t="shared" si="11"/>
        <v>0</v>
      </c>
      <c r="O39" s="85">
        <f t="shared" si="8"/>
        <v>5081.8</v>
      </c>
      <c r="Q39" s="65"/>
    </row>
    <row r="40" spans="2:17" s="115" customFormat="1" ht="94.5" hidden="1">
      <c r="B40" s="30" t="s">
        <v>50</v>
      </c>
      <c r="C40" s="30"/>
      <c r="D40" s="34" t="s">
        <v>51</v>
      </c>
      <c r="E40" s="61">
        <f>E41+E42</f>
        <v>0</v>
      </c>
      <c r="F40" s="61">
        <f t="shared" ref="F40:L42" si="12">F41+F42</f>
        <v>0</v>
      </c>
      <c r="G40" s="61">
        <f t="shared" si="12"/>
        <v>0</v>
      </c>
      <c r="H40" s="61">
        <f t="shared" si="12"/>
        <v>0</v>
      </c>
      <c r="I40" s="61">
        <f t="shared" si="12"/>
        <v>0</v>
      </c>
      <c r="J40" s="61">
        <f t="shared" si="12"/>
        <v>0</v>
      </c>
      <c r="K40" s="61">
        <f t="shared" si="12"/>
        <v>0</v>
      </c>
      <c r="L40" s="61">
        <f t="shared" si="12"/>
        <v>0</v>
      </c>
      <c r="M40" s="61">
        <f t="shared" ref="M40" si="13">M41+M42</f>
        <v>0</v>
      </c>
      <c r="N40" s="61">
        <f t="shared" ref="N40" si="14">N41+N42</f>
        <v>0</v>
      </c>
      <c r="O40" s="85">
        <f t="shared" si="8"/>
        <v>0</v>
      </c>
      <c r="Q40" s="117"/>
    </row>
    <row r="41" spans="2:17" ht="47.25" hidden="1">
      <c r="B41" s="21" t="s">
        <v>52</v>
      </c>
      <c r="C41" s="21" t="s">
        <v>34</v>
      </c>
      <c r="D41" s="17" t="s">
        <v>176</v>
      </c>
      <c r="E41" s="80"/>
      <c r="F41" s="80"/>
      <c r="G41" s="80"/>
      <c r="H41" s="61">
        <f t="shared" si="12"/>
        <v>0</v>
      </c>
      <c r="I41" s="80"/>
      <c r="J41" s="80"/>
      <c r="K41" s="80"/>
      <c r="L41" s="61">
        <f t="shared" si="12"/>
        <v>0</v>
      </c>
      <c r="M41" s="80"/>
      <c r="N41" s="80"/>
      <c r="O41" s="82">
        <f t="shared" si="8"/>
        <v>0</v>
      </c>
    </row>
    <row r="42" spans="2:17" ht="47.25" hidden="1">
      <c r="B42" s="21" t="s">
        <v>85</v>
      </c>
      <c r="C42" s="21" t="s">
        <v>36</v>
      </c>
      <c r="D42" s="17" t="s">
        <v>103</v>
      </c>
      <c r="E42" s="80"/>
      <c r="F42" s="80"/>
      <c r="G42" s="80"/>
      <c r="H42" s="61">
        <f t="shared" si="12"/>
        <v>0</v>
      </c>
      <c r="I42" s="80"/>
      <c r="J42" s="80"/>
      <c r="K42" s="80"/>
      <c r="L42" s="61">
        <f t="shared" si="12"/>
        <v>0</v>
      </c>
      <c r="M42" s="80"/>
      <c r="N42" s="80"/>
      <c r="O42" s="80">
        <f t="shared" ref="O42:O46" si="15">E42+H42</f>
        <v>0</v>
      </c>
    </row>
    <row r="43" spans="2:17" s="115" customFormat="1" ht="47.25" hidden="1">
      <c r="B43" s="30" t="s">
        <v>53</v>
      </c>
      <c r="C43" s="30"/>
      <c r="D43" s="34" t="s">
        <v>54</v>
      </c>
      <c r="E43" s="61">
        <f>E44+E45</f>
        <v>0</v>
      </c>
      <c r="F43" s="61">
        <f t="shared" ref="F43:L45" si="16">F44+F45</f>
        <v>0</v>
      </c>
      <c r="G43" s="61">
        <f>G44+G45</f>
        <v>0</v>
      </c>
      <c r="H43" s="61">
        <f t="shared" si="16"/>
        <v>0</v>
      </c>
      <c r="I43" s="61">
        <f t="shared" si="16"/>
        <v>0</v>
      </c>
      <c r="J43" s="61">
        <f t="shared" si="16"/>
        <v>0</v>
      </c>
      <c r="K43" s="61">
        <f t="shared" si="16"/>
        <v>0</v>
      </c>
      <c r="L43" s="61">
        <f t="shared" si="16"/>
        <v>0</v>
      </c>
      <c r="M43" s="61">
        <f t="shared" ref="M43" si="17">M44+M45</f>
        <v>0</v>
      </c>
      <c r="N43" s="61">
        <f t="shared" ref="N43" si="18">N44+N45</f>
        <v>0</v>
      </c>
      <c r="O43" s="61">
        <f t="shared" si="15"/>
        <v>0</v>
      </c>
    </row>
    <row r="44" spans="2:17" ht="63" hidden="1">
      <c r="B44" s="21" t="s">
        <v>55</v>
      </c>
      <c r="C44" s="21" t="s">
        <v>34</v>
      </c>
      <c r="D44" s="17" t="s">
        <v>177</v>
      </c>
      <c r="E44" s="80"/>
      <c r="F44" s="80"/>
      <c r="G44" s="80"/>
      <c r="H44" s="61"/>
      <c r="I44" s="80"/>
      <c r="J44" s="80"/>
      <c r="K44" s="80"/>
      <c r="L44" s="61">
        <f t="shared" si="16"/>
        <v>0</v>
      </c>
      <c r="M44" s="80"/>
      <c r="N44" s="80"/>
      <c r="O44" s="80">
        <f t="shared" si="15"/>
        <v>0</v>
      </c>
    </row>
    <row r="45" spans="2:17" ht="63" hidden="1">
      <c r="B45" s="21" t="s">
        <v>178</v>
      </c>
      <c r="C45" s="21" t="s">
        <v>36</v>
      </c>
      <c r="D45" s="17" t="s">
        <v>104</v>
      </c>
      <c r="E45" s="80"/>
      <c r="F45" s="80"/>
      <c r="G45" s="80"/>
      <c r="H45" s="61"/>
      <c r="I45" s="80"/>
      <c r="J45" s="80"/>
      <c r="K45" s="80"/>
      <c r="L45" s="61">
        <f t="shared" si="16"/>
        <v>0</v>
      </c>
      <c r="M45" s="80"/>
      <c r="N45" s="80"/>
      <c r="O45" s="80">
        <f t="shared" si="15"/>
        <v>0</v>
      </c>
    </row>
    <row r="46" spans="2:17" s="115" customFormat="1" ht="78.75" hidden="1">
      <c r="B46" s="30" t="s">
        <v>73</v>
      </c>
      <c r="C46" s="30" t="s">
        <v>34</v>
      </c>
      <c r="D46" s="34" t="s">
        <v>179</v>
      </c>
      <c r="E46" s="61">
        <f>E47+E48</f>
        <v>0</v>
      </c>
      <c r="F46" s="61">
        <f t="shared" ref="F46:N46" si="19">F47+F48</f>
        <v>0</v>
      </c>
      <c r="G46" s="61">
        <f t="shared" si="19"/>
        <v>0</v>
      </c>
      <c r="H46" s="61">
        <f>H47+H48</f>
        <v>0</v>
      </c>
      <c r="I46" s="61">
        <f t="shared" si="19"/>
        <v>0</v>
      </c>
      <c r="J46" s="61">
        <f t="shared" si="19"/>
        <v>0</v>
      </c>
      <c r="K46" s="61">
        <f t="shared" si="19"/>
        <v>0</v>
      </c>
      <c r="L46" s="61">
        <f t="shared" si="19"/>
        <v>0</v>
      </c>
      <c r="M46" s="61">
        <f t="shared" si="19"/>
        <v>0</v>
      </c>
      <c r="N46" s="61">
        <f t="shared" si="19"/>
        <v>0</v>
      </c>
      <c r="O46" s="61">
        <f t="shared" si="15"/>
        <v>0</v>
      </c>
    </row>
    <row r="47" spans="2:17" ht="31.5" hidden="1">
      <c r="B47" s="21" t="s">
        <v>84</v>
      </c>
      <c r="C47" s="21" t="s">
        <v>34</v>
      </c>
      <c r="D47" s="17" t="s">
        <v>180</v>
      </c>
      <c r="E47" s="80"/>
      <c r="F47" s="80"/>
      <c r="G47" s="80"/>
      <c r="H47" s="61"/>
      <c r="I47" s="80"/>
      <c r="J47" s="80"/>
      <c r="K47" s="80"/>
      <c r="L47" s="61"/>
      <c r="M47" s="80"/>
      <c r="N47" s="80"/>
      <c r="O47" s="80">
        <f t="shared" si="2"/>
        <v>0</v>
      </c>
    </row>
    <row r="48" spans="2:17" ht="31.5" hidden="1">
      <c r="B48" s="21" t="s">
        <v>181</v>
      </c>
      <c r="C48" s="21" t="s">
        <v>74</v>
      </c>
      <c r="D48" s="17" t="s">
        <v>86</v>
      </c>
      <c r="E48" s="80"/>
      <c r="F48" s="80"/>
      <c r="G48" s="80"/>
      <c r="H48" s="61"/>
      <c r="I48" s="80"/>
      <c r="J48" s="80"/>
      <c r="K48" s="80"/>
      <c r="L48" s="61"/>
      <c r="M48" s="80"/>
      <c r="N48" s="80"/>
      <c r="O48" s="80">
        <f t="shared" si="2"/>
        <v>0</v>
      </c>
    </row>
    <row r="49" spans="2:15" s="115" customFormat="1" ht="47.25" hidden="1">
      <c r="B49" s="30" t="s">
        <v>87</v>
      </c>
      <c r="C49" s="30"/>
      <c r="D49" s="34" t="s">
        <v>256</v>
      </c>
      <c r="E49" s="61">
        <f>E50+E51+E52+E53+E54+E55+E56</f>
        <v>0</v>
      </c>
      <c r="F49" s="61">
        <f t="shared" ref="F49:O49" si="20">F50+F51+F52+F53+F54+F55+F56</f>
        <v>0</v>
      </c>
      <c r="G49" s="61">
        <f t="shared" si="20"/>
        <v>0</v>
      </c>
      <c r="H49" s="61">
        <f t="shared" si="20"/>
        <v>0</v>
      </c>
      <c r="I49" s="61">
        <f t="shared" si="20"/>
        <v>0</v>
      </c>
      <c r="J49" s="61">
        <f t="shared" si="20"/>
        <v>0</v>
      </c>
      <c r="K49" s="61">
        <f t="shared" si="20"/>
        <v>0</v>
      </c>
      <c r="L49" s="61">
        <f t="shared" si="20"/>
        <v>0</v>
      </c>
      <c r="M49" s="61">
        <f t="shared" si="20"/>
        <v>0</v>
      </c>
      <c r="N49" s="61">
        <f t="shared" si="20"/>
        <v>0</v>
      </c>
      <c r="O49" s="61">
        <f t="shared" si="20"/>
        <v>0</v>
      </c>
    </row>
    <row r="50" spans="2:15" s="116" customFormat="1" ht="30" hidden="1">
      <c r="B50" s="18" t="s">
        <v>88</v>
      </c>
      <c r="C50" s="18" t="s">
        <v>89</v>
      </c>
      <c r="D50" s="75" t="s">
        <v>90</v>
      </c>
      <c r="E50" s="103"/>
      <c r="F50" s="103"/>
      <c r="G50" s="103"/>
      <c r="H50" s="61"/>
      <c r="I50" s="103"/>
      <c r="J50" s="103"/>
      <c r="K50" s="103"/>
      <c r="L50" s="103"/>
      <c r="M50" s="103"/>
      <c r="N50" s="103"/>
      <c r="O50" s="103">
        <f t="shared" si="2"/>
        <v>0</v>
      </c>
    </row>
    <row r="51" spans="2:15" s="116" customFormat="1" ht="15.75" hidden="1">
      <c r="B51" s="18" t="s">
        <v>91</v>
      </c>
      <c r="C51" s="18" t="s">
        <v>89</v>
      </c>
      <c r="D51" s="75" t="s">
        <v>101</v>
      </c>
      <c r="E51" s="103"/>
      <c r="F51" s="103"/>
      <c r="G51" s="103"/>
      <c r="H51" s="61"/>
      <c r="I51" s="103"/>
      <c r="J51" s="103"/>
      <c r="K51" s="103"/>
      <c r="L51" s="103"/>
      <c r="M51" s="103"/>
      <c r="N51" s="103"/>
      <c r="O51" s="103">
        <f t="shared" si="2"/>
        <v>0</v>
      </c>
    </row>
    <row r="52" spans="2:15" s="116" customFormat="1" ht="15.75" hidden="1">
      <c r="B52" s="18" t="s">
        <v>92</v>
      </c>
      <c r="C52" s="18" t="s">
        <v>89</v>
      </c>
      <c r="D52" s="75" t="s">
        <v>93</v>
      </c>
      <c r="E52" s="103"/>
      <c r="F52" s="103"/>
      <c r="G52" s="103"/>
      <c r="H52" s="61"/>
      <c r="I52" s="103"/>
      <c r="J52" s="103"/>
      <c r="K52" s="103"/>
      <c r="L52" s="103"/>
      <c r="M52" s="103"/>
      <c r="N52" s="103"/>
      <c r="O52" s="103">
        <f t="shared" si="2"/>
        <v>0</v>
      </c>
    </row>
    <row r="53" spans="2:15" s="116" customFormat="1" ht="30" hidden="1">
      <c r="B53" s="18" t="s">
        <v>94</v>
      </c>
      <c r="C53" s="18" t="s">
        <v>89</v>
      </c>
      <c r="D53" s="75" t="s">
        <v>95</v>
      </c>
      <c r="E53" s="103"/>
      <c r="F53" s="103"/>
      <c r="G53" s="103"/>
      <c r="H53" s="61"/>
      <c r="I53" s="103"/>
      <c r="J53" s="103"/>
      <c r="K53" s="103"/>
      <c r="L53" s="103"/>
      <c r="M53" s="103"/>
      <c r="N53" s="103"/>
      <c r="O53" s="103">
        <f t="shared" si="2"/>
        <v>0</v>
      </c>
    </row>
    <row r="54" spans="2:15" s="116" customFormat="1" ht="30" hidden="1">
      <c r="B54" s="18" t="s">
        <v>96</v>
      </c>
      <c r="C54" s="18" t="s">
        <v>89</v>
      </c>
      <c r="D54" s="75" t="s">
        <v>97</v>
      </c>
      <c r="E54" s="103"/>
      <c r="F54" s="103"/>
      <c r="G54" s="103"/>
      <c r="H54" s="61"/>
      <c r="I54" s="103"/>
      <c r="J54" s="103"/>
      <c r="K54" s="103"/>
      <c r="L54" s="103"/>
      <c r="M54" s="103"/>
      <c r="N54" s="103"/>
      <c r="O54" s="103">
        <f t="shared" si="2"/>
        <v>0</v>
      </c>
    </row>
    <row r="55" spans="2:15" s="116" customFormat="1" ht="30" hidden="1">
      <c r="B55" s="18" t="s">
        <v>98</v>
      </c>
      <c r="C55" s="18" t="s">
        <v>89</v>
      </c>
      <c r="D55" s="75" t="s">
        <v>99</v>
      </c>
      <c r="E55" s="103"/>
      <c r="F55" s="103"/>
      <c r="G55" s="103"/>
      <c r="H55" s="61"/>
      <c r="I55" s="103"/>
      <c r="J55" s="103"/>
      <c r="K55" s="103"/>
      <c r="L55" s="103"/>
      <c r="M55" s="103"/>
      <c r="N55" s="103"/>
      <c r="O55" s="103">
        <f t="shared" si="2"/>
        <v>0</v>
      </c>
    </row>
    <row r="56" spans="2:15" s="116" customFormat="1" ht="30" hidden="1">
      <c r="B56" s="18" t="s">
        <v>100</v>
      </c>
      <c r="C56" s="18" t="s">
        <v>89</v>
      </c>
      <c r="D56" s="75" t="s">
        <v>102</v>
      </c>
      <c r="E56" s="103"/>
      <c r="F56" s="103"/>
      <c r="G56" s="103"/>
      <c r="H56" s="61"/>
      <c r="I56" s="103"/>
      <c r="J56" s="103"/>
      <c r="K56" s="103"/>
      <c r="L56" s="103"/>
      <c r="M56" s="103"/>
      <c r="N56" s="103"/>
      <c r="O56" s="103">
        <f t="shared" si="2"/>
        <v>0</v>
      </c>
    </row>
    <row r="57" spans="2:15" s="116" customFormat="1" ht="189" hidden="1">
      <c r="B57" s="86" t="s">
        <v>116</v>
      </c>
      <c r="C57" s="86"/>
      <c r="D57" s="87" t="s">
        <v>257</v>
      </c>
      <c r="E57" s="61">
        <f>E58+E60+E59</f>
        <v>0</v>
      </c>
      <c r="F57" s="103"/>
      <c r="G57" s="103"/>
      <c r="H57" s="61"/>
      <c r="I57" s="103"/>
      <c r="J57" s="103"/>
      <c r="K57" s="103"/>
      <c r="L57" s="103"/>
      <c r="M57" s="103"/>
      <c r="N57" s="103"/>
      <c r="O57" s="61">
        <f t="shared" si="2"/>
        <v>0</v>
      </c>
    </row>
    <row r="58" spans="2:15" s="116" customFormat="1" ht="47.25" hidden="1">
      <c r="B58" s="18" t="s">
        <v>258</v>
      </c>
      <c r="C58" s="18" t="s">
        <v>30</v>
      </c>
      <c r="D58" s="17" t="s">
        <v>260</v>
      </c>
      <c r="E58" s="103"/>
      <c r="F58" s="103"/>
      <c r="G58" s="103"/>
      <c r="H58" s="61"/>
      <c r="I58" s="103"/>
      <c r="J58" s="103"/>
      <c r="K58" s="103"/>
      <c r="L58" s="103"/>
      <c r="M58" s="103"/>
      <c r="N58" s="103"/>
      <c r="O58" s="103">
        <f t="shared" si="2"/>
        <v>0</v>
      </c>
    </row>
    <row r="59" spans="2:15" s="116" customFormat="1" ht="63" hidden="1">
      <c r="B59" s="18" t="s">
        <v>282</v>
      </c>
      <c r="C59" s="18" t="s">
        <v>30</v>
      </c>
      <c r="D59" s="17" t="s">
        <v>281</v>
      </c>
      <c r="E59" s="103"/>
      <c r="F59" s="103"/>
      <c r="G59" s="103"/>
      <c r="H59" s="61"/>
      <c r="I59" s="103"/>
      <c r="J59" s="103"/>
      <c r="K59" s="103"/>
      <c r="L59" s="103"/>
      <c r="M59" s="103"/>
      <c r="N59" s="103"/>
      <c r="O59" s="103">
        <f t="shared" si="2"/>
        <v>0</v>
      </c>
    </row>
    <row r="60" spans="2:15" s="116" customFormat="1" ht="47.25" hidden="1">
      <c r="B60" s="18" t="s">
        <v>259</v>
      </c>
      <c r="C60" s="18" t="s">
        <v>30</v>
      </c>
      <c r="D60" s="17" t="s">
        <v>261</v>
      </c>
      <c r="E60" s="103"/>
      <c r="F60" s="104"/>
      <c r="G60" s="104"/>
      <c r="H60" s="104"/>
      <c r="I60" s="104"/>
      <c r="J60" s="104"/>
      <c r="K60" s="104"/>
      <c r="L60" s="104"/>
      <c r="M60" s="104"/>
      <c r="N60" s="104"/>
      <c r="O60" s="104">
        <f t="shared" si="2"/>
        <v>0</v>
      </c>
    </row>
    <row r="61" spans="2:15" s="118" customFormat="1" ht="63">
      <c r="B61" s="30" t="s">
        <v>112</v>
      </c>
      <c r="C61" s="30"/>
      <c r="D61" s="34" t="s">
        <v>262</v>
      </c>
      <c r="E61" s="61">
        <f>E62</f>
        <v>57.3</v>
      </c>
      <c r="F61" s="61">
        <f t="shared" ref="F61:N61" si="21">F62+F63</f>
        <v>0</v>
      </c>
      <c r="G61" s="61">
        <f t="shared" si="21"/>
        <v>0</v>
      </c>
      <c r="H61" s="61">
        <f t="shared" si="21"/>
        <v>0</v>
      </c>
      <c r="I61" s="61">
        <f t="shared" si="21"/>
        <v>0</v>
      </c>
      <c r="J61" s="61">
        <f t="shared" si="21"/>
        <v>0</v>
      </c>
      <c r="K61" s="61">
        <f t="shared" si="21"/>
        <v>0</v>
      </c>
      <c r="L61" s="61">
        <f t="shared" si="21"/>
        <v>0</v>
      </c>
      <c r="M61" s="61">
        <f t="shared" si="21"/>
        <v>0</v>
      </c>
      <c r="N61" s="61">
        <f t="shared" si="21"/>
        <v>0</v>
      </c>
      <c r="O61" s="61">
        <f>E61+H61</f>
        <v>57.3</v>
      </c>
    </row>
    <row r="62" spans="2:15" s="116" customFormat="1" ht="60" customHeight="1">
      <c r="B62" s="18" t="s">
        <v>113</v>
      </c>
      <c r="C62" s="18" t="s">
        <v>31</v>
      </c>
      <c r="D62" s="17" t="s">
        <v>117</v>
      </c>
      <c r="E62" s="103">
        <v>57.3</v>
      </c>
      <c r="F62" s="103"/>
      <c r="G62" s="103"/>
      <c r="H62" s="102">
        <f>I62+L62</f>
        <v>0</v>
      </c>
      <c r="I62" s="102"/>
      <c r="J62" s="102"/>
      <c r="K62" s="102"/>
      <c r="L62" s="102"/>
      <c r="M62" s="102"/>
      <c r="N62" s="102"/>
      <c r="O62" s="102">
        <f t="shared" ref="O62:O71" si="22">E62+H62</f>
        <v>57.3</v>
      </c>
    </row>
    <row r="63" spans="2:15" s="118" customFormat="1" ht="31.5" hidden="1">
      <c r="B63" s="30" t="s">
        <v>105</v>
      </c>
      <c r="C63" s="30"/>
      <c r="D63" s="34" t="s">
        <v>107</v>
      </c>
      <c r="E63" s="61">
        <f>E64</f>
        <v>0</v>
      </c>
      <c r="F63" s="61"/>
      <c r="G63" s="61"/>
      <c r="H63" s="61"/>
      <c r="I63" s="61"/>
      <c r="J63" s="61"/>
      <c r="K63" s="61"/>
      <c r="L63" s="61"/>
      <c r="M63" s="61"/>
      <c r="N63" s="61"/>
      <c r="O63" s="61">
        <f>E63+H63</f>
        <v>0</v>
      </c>
    </row>
    <row r="64" spans="2:15" s="116" customFormat="1" ht="31.5" hidden="1">
      <c r="B64" s="18" t="s">
        <v>106</v>
      </c>
      <c r="C64" s="18" t="s">
        <v>89</v>
      </c>
      <c r="D64" s="17" t="s">
        <v>118</v>
      </c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>
        <f t="shared" si="22"/>
        <v>0</v>
      </c>
    </row>
    <row r="65" spans="2:16" s="115" customFormat="1" ht="31.5">
      <c r="B65" s="30" t="s">
        <v>147</v>
      </c>
      <c r="C65" s="30"/>
      <c r="D65" s="34" t="s">
        <v>109</v>
      </c>
      <c r="E65" s="61">
        <f>E66+E67</f>
        <v>24.5</v>
      </c>
      <c r="F65" s="61">
        <f>F66+F67</f>
        <v>0</v>
      </c>
      <c r="G65" s="61">
        <f>G66+G67</f>
        <v>0</v>
      </c>
      <c r="H65" s="61"/>
      <c r="I65" s="61"/>
      <c r="J65" s="61"/>
      <c r="K65" s="61"/>
      <c r="L65" s="61"/>
      <c r="M65" s="61"/>
      <c r="N65" s="61"/>
      <c r="O65" s="61">
        <f>E65+H65</f>
        <v>24.5</v>
      </c>
    </row>
    <row r="66" spans="2:16" s="116" customFormat="1" ht="50.25" customHeight="1">
      <c r="B66" s="18" t="s">
        <v>148</v>
      </c>
      <c r="C66" s="18" t="s">
        <v>89</v>
      </c>
      <c r="D66" s="17" t="s">
        <v>149</v>
      </c>
      <c r="E66" s="103">
        <v>24.5</v>
      </c>
      <c r="F66" s="103"/>
      <c r="G66" s="103"/>
      <c r="H66" s="102"/>
      <c r="I66" s="102"/>
      <c r="J66" s="102"/>
      <c r="K66" s="102"/>
      <c r="L66" s="102"/>
      <c r="M66" s="102"/>
      <c r="N66" s="102"/>
      <c r="O66" s="102">
        <f t="shared" si="22"/>
        <v>24.5</v>
      </c>
    </row>
    <row r="67" spans="2:16" s="116" customFormat="1" ht="24" hidden="1" customHeight="1">
      <c r="B67" s="18" t="s">
        <v>150</v>
      </c>
      <c r="C67" s="18" t="s">
        <v>89</v>
      </c>
      <c r="D67" s="17" t="s">
        <v>119</v>
      </c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>
        <f t="shared" si="22"/>
        <v>0</v>
      </c>
    </row>
    <row r="68" spans="2:16" s="118" customFormat="1" ht="31.5" hidden="1">
      <c r="B68" s="30" t="s">
        <v>108</v>
      </c>
      <c r="C68" s="30"/>
      <c r="D68" s="34" t="s">
        <v>128</v>
      </c>
      <c r="E68" s="85">
        <f>E69</f>
        <v>0</v>
      </c>
      <c r="F68" s="85"/>
      <c r="G68" s="85"/>
      <c r="H68" s="85"/>
      <c r="I68" s="85"/>
      <c r="J68" s="85"/>
      <c r="K68" s="85"/>
      <c r="L68" s="85"/>
      <c r="M68" s="85"/>
      <c r="N68" s="85"/>
      <c r="O68" s="85">
        <f t="shared" si="22"/>
        <v>0</v>
      </c>
    </row>
    <row r="69" spans="2:16" s="116" customFormat="1" ht="21" hidden="1" customHeight="1">
      <c r="B69" s="18" t="s">
        <v>151</v>
      </c>
      <c r="C69" s="18" t="s">
        <v>89</v>
      </c>
      <c r="D69" s="17" t="s">
        <v>129</v>
      </c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>
        <f>E69</f>
        <v>0</v>
      </c>
    </row>
    <row r="70" spans="2:16" s="116" customFormat="1" ht="78.75" hidden="1">
      <c r="B70" s="21" t="s">
        <v>110</v>
      </c>
      <c r="C70" s="21" t="s">
        <v>89</v>
      </c>
      <c r="D70" s="15" t="s">
        <v>111</v>
      </c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>
        <f t="shared" si="22"/>
        <v>0</v>
      </c>
    </row>
    <row r="71" spans="2:16" s="115" customFormat="1" ht="98.25" hidden="1" customHeight="1">
      <c r="B71" s="21" t="s">
        <v>182</v>
      </c>
      <c r="C71" s="18" t="s">
        <v>30</v>
      </c>
      <c r="D71" s="15" t="s">
        <v>263</v>
      </c>
      <c r="E71" s="80"/>
      <c r="F71" s="61"/>
      <c r="G71" s="61"/>
      <c r="H71" s="61"/>
      <c r="I71" s="61"/>
      <c r="J71" s="61"/>
      <c r="K71" s="61"/>
      <c r="L71" s="61"/>
      <c r="M71" s="61"/>
      <c r="N71" s="61"/>
      <c r="O71" s="80">
        <f t="shared" si="22"/>
        <v>0</v>
      </c>
    </row>
    <row r="72" spans="2:16" ht="84.75" hidden="1" customHeight="1">
      <c r="B72" s="21" t="s">
        <v>114</v>
      </c>
      <c r="C72" s="21" t="s">
        <v>36</v>
      </c>
      <c r="D72" s="15" t="s">
        <v>264</v>
      </c>
      <c r="E72" s="82"/>
      <c r="F72" s="82"/>
      <c r="G72" s="82"/>
      <c r="H72" s="80"/>
      <c r="I72" s="82"/>
      <c r="J72" s="82"/>
      <c r="K72" s="82"/>
      <c r="L72" s="82"/>
      <c r="M72" s="82"/>
      <c r="N72" s="82"/>
      <c r="O72" s="82">
        <f t="shared" si="2"/>
        <v>0</v>
      </c>
    </row>
    <row r="73" spans="2:16" s="115" customFormat="1" ht="18.75" hidden="1" customHeight="1">
      <c r="B73" s="30" t="s">
        <v>265</v>
      </c>
      <c r="C73" s="30"/>
      <c r="D73" s="34" t="s">
        <v>115</v>
      </c>
      <c r="E73" s="85">
        <f>E74</f>
        <v>0</v>
      </c>
      <c r="F73" s="85"/>
      <c r="G73" s="85"/>
      <c r="H73" s="61">
        <f>H74</f>
        <v>0</v>
      </c>
      <c r="I73" s="85"/>
      <c r="J73" s="85"/>
      <c r="K73" s="85"/>
      <c r="L73" s="85"/>
      <c r="M73" s="85"/>
      <c r="N73" s="85"/>
      <c r="O73" s="85">
        <f>O74</f>
        <v>0</v>
      </c>
    </row>
    <row r="74" spans="2:16" s="116" customFormat="1" ht="55.5" hidden="1" customHeight="1">
      <c r="B74" s="18" t="s">
        <v>266</v>
      </c>
      <c r="C74" s="18" t="s">
        <v>34</v>
      </c>
      <c r="D74" s="17" t="s">
        <v>267</v>
      </c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>
        <f t="shared" si="2"/>
        <v>0</v>
      </c>
    </row>
    <row r="75" spans="2:16" ht="17.25" hidden="1" customHeight="1">
      <c r="B75" s="21" t="s">
        <v>255</v>
      </c>
      <c r="C75" s="21" t="s">
        <v>216</v>
      </c>
      <c r="D75" s="15" t="s">
        <v>217</v>
      </c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102">
        <f t="shared" si="2"/>
        <v>0</v>
      </c>
    </row>
    <row r="76" spans="2:16" ht="0.75" hidden="1" customHeight="1">
      <c r="B76" s="88"/>
      <c r="C76" s="88"/>
      <c r="D76" s="89"/>
      <c r="E76" s="105"/>
      <c r="F76" s="82"/>
      <c r="G76" s="82"/>
      <c r="H76" s="82"/>
      <c r="I76" s="82"/>
      <c r="J76" s="82"/>
      <c r="K76" s="82"/>
      <c r="L76" s="82"/>
      <c r="M76" s="82"/>
      <c r="N76" s="82"/>
      <c r="O76" s="102"/>
    </row>
    <row r="77" spans="2:16" ht="15.75">
      <c r="B77" s="62" t="s">
        <v>268</v>
      </c>
      <c r="C77" s="62"/>
      <c r="D77" s="34" t="s">
        <v>239</v>
      </c>
      <c r="E77" s="61">
        <f>E78</f>
        <v>5000</v>
      </c>
      <c r="F77" s="61">
        <f t="shared" ref="F77:N77" si="23">F78</f>
        <v>0</v>
      </c>
      <c r="G77" s="61">
        <f t="shared" si="23"/>
        <v>0</v>
      </c>
      <c r="H77" s="61">
        <f t="shared" si="23"/>
        <v>0</v>
      </c>
      <c r="I77" s="61">
        <f t="shared" si="23"/>
        <v>0</v>
      </c>
      <c r="J77" s="61">
        <f t="shared" si="23"/>
        <v>0</v>
      </c>
      <c r="K77" s="61">
        <f t="shared" si="23"/>
        <v>0</v>
      </c>
      <c r="L77" s="61">
        <f t="shared" si="23"/>
        <v>0</v>
      </c>
      <c r="M77" s="61">
        <f t="shared" si="23"/>
        <v>0</v>
      </c>
      <c r="N77" s="61">
        <f t="shared" si="23"/>
        <v>0</v>
      </c>
      <c r="O77" s="106">
        <f t="shared" si="2"/>
        <v>5000</v>
      </c>
    </row>
    <row r="78" spans="2:16" ht="31.5">
      <c r="B78" s="21" t="s">
        <v>269</v>
      </c>
      <c r="C78" s="21" t="s">
        <v>38</v>
      </c>
      <c r="D78" s="15" t="s">
        <v>270</v>
      </c>
      <c r="E78" s="80">
        <v>5000</v>
      </c>
      <c r="F78" s="80"/>
      <c r="G78" s="80"/>
      <c r="H78" s="61"/>
      <c r="I78" s="80"/>
      <c r="J78" s="80"/>
      <c r="K78" s="80"/>
      <c r="L78" s="80"/>
      <c r="M78" s="80"/>
      <c r="N78" s="80"/>
      <c r="O78" s="80">
        <v>5000</v>
      </c>
    </row>
    <row r="79" spans="2:16" s="115" customFormat="1" ht="15.75">
      <c r="B79" s="30" t="s">
        <v>60</v>
      </c>
      <c r="C79" s="30"/>
      <c r="D79" s="76" t="s">
        <v>15</v>
      </c>
      <c r="E79" s="61">
        <f>E80+E81+E82+E83</f>
        <v>283.72000000000003</v>
      </c>
      <c r="F79" s="61">
        <f>F80+F81+F82+F83</f>
        <v>0</v>
      </c>
      <c r="G79" s="61">
        <f>G80+G81+G82+G83</f>
        <v>0</v>
      </c>
      <c r="H79" s="61">
        <f>I79+L79</f>
        <v>990</v>
      </c>
      <c r="I79" s="61">
        <f>I80+I81+I82+I83</f>
        <v>0</v>
      </c>
      <c r="J79" s="61">
        <f>J80+J81+J82+J83</f>
        <v>0</v>
      </c>
      <c r="K79" s="61"/>
      <c r="L79" s="61">
        <f>L80+L81+L82+L83</f>
        <v>990</v>
      </c>
      <c r="M79" s="61">
        <f>M80+M81+M82+M83</f>
        <v>990</v>
      </c>
      <c r="N79" s="61">
        <f>N80+N81+N82+N83</f>
        <v>990</v>
      </c>
      <c r="O79" s="61">
        <f t="shared" si="2"/>
        <v>1273.72</v>
      </c>
      <c r="P79" s="117"/>
    </row>
    <row r="80" spans="2:16" ht="15.75">
      <c r="B80" s="21" t="s">
        <v>152</v>
      </c>
      <c r="C80" s="21" t="s">
        <v>62</v>
      </c>
      <c r="D80" s="77" t="s">
        <v>155</v>
      </c>
      <c r="E80" s="80">
        <v>50</v>
      </c>
      <c r="F80" s="80"/>
      <c r="G80" s="80"/>
      <c r="H80" s="80">
        <f>L80+I80</f>
        <v>600</v>
      </c>
      <c r="I80" s="80"/>
      <c r="J80" s="80"/>
      <c r="K80" s="80"/>
      <c r="L80" s="80">
        <v>600</v>
      </c>
      <c r="M80" s="80">
        <v>600</v>
      </c>
      <c r="N80" s="80">
        <v>600</v>
      </c>
      <c r="O80" s="80">
        <f t="shared" si="2"/>
        <v>650</v>
      </c>
    </row>
    <row r="81" spans="1:17" ht="15.75">
      <c r="B81" s="21" t="s">
        <v>153</v>
      </c>
      <c r="C81" s="21" t="s">
        <v>62</v>
      </c>
      <c r="D81" s="77" t="s">
        <v>154</v>
      </c>
      <c r="E81" s="80">
        <v>28.72</v>
      </c>
      <c r="F81" s="80"/>
      <c r="G81" s="80"/>
      <c r="H81" s="80">
        <f>I81+L81</f>
        <v>90</v>
      </c>
      <c r="I81" s="80"/>
      <c r="J81" s="80"/>
      <c r="K81" s="80"/>
      <c r="L81" s="80">
        <f>50+40</f>
        <v>90</v>
      </c>
      <c r="M81" s="80">
        <f>50+40</f>
        <v>90</v>
      </c>
      <c r="N81" s="80">
        <f>50+40</f>
        <v>90</v>
      </c>
      <c r="O81" s="80">
        <f t="shared" si="2"/>
        <v>118.72</v>
      </c>
    </row>
    <row r="82" spans="1:17" ht="45">
      <c r="B82" s="21" t="s">
        <v>61</v>
      </c>
      <c r="C82" s="21" t="s">
        <v>63</v>
      </c>
      <c r="D82" s="77" t="s">
        <v>156</v>
      </c>
      <c r="E82" s="80">
        <v>120</v>
      </c>
      <c r="F82" s="80"/>
      <c r="G82" s="80"/>
      <c r="H82" s="80">
        <f>I82+L82</f>
        <v>300</v>
      </c>
      <c r="I82" s="80"/>
      <c r="J82" s="80"/>
      <c r="K82" s="80"/>
      <c r="L82" s="80">
        <f>120+180</f>
        <v>300</v>
      </c>
      <c r="M82" s="80">
        <f>120+180</f>
        <v>300</v>
      </c>
      <c r="N82" s="80">
        <f>120+180</f>
        <v>300</v>
      </c>
      <c r="O82" s="80">
        <f t="shared" si="2"/>
        <v>420</v>
      </c>
    </row>
    <row r="83" spans="1:17" ht="29.25" customHeight="1">
      <c r="B83" s="21" t="s">
        <v>157</v>
      </c>
      <c r="C83" s="21"/>
      <c r="D83" s="77" t="s">
        <v>158</v>
      </c>
      <c r="E83" s="80">
        <f>E84+E85</f>
        <v>85</v>
      </c>
      <c r="F83" s="80">
        <f t="shared" ref="F83:G83" si="24">F84+F85</f>
        <v>0</v>
      </c>
      <c r="G83" s="80">
        <f t="shared" si="24"/>
        <v>0</v>
      </c>
      <c r="H83" s="80">
        <f>L83+I83</f>
        <v>0</v>
      </c>
      <c r="I83" s="80">
        <f>I84+I85</f>
        <v>0</v>
      </c>
      <c r="J83" s="80">
        <f t="shared" ref="J83:N83" si="25">J84+J85</f>
        <v>0</v>
      </c>
      <c r="K83" s="80">
        <f t="shared" si="25"/>
        <v>0</v>
      </c>
      <c r="L83" s="80">
        <f t="shared" si="25"/>
        <v>0</v>
      </c>
      <c r="M83" s="80">
        <f t="shared" si="25"/>
        <v>0</v>
      </c>
      <c r="N83" s="80">
        <f t="shared" si="25"/>
        <v>0</v>
      </c>
      <c r="O83" s="80">
        <f t="shared" si="2"/>
        <v>85</v>
      </c>
    </row>
    <row r="84" spans="1:17" s="116" customFormat="1" ht="30" hidden="1">
      <c r="B84" s="18" t="s">
        <v>248</v>
      </c>
      <c r="C84" s="18" t="s">
        <v>64</v>
      </c>
      <c r="D84" s="75" t="s">
        <v>250</v>
      </c>
      <c r="E84" s="103"/>
      <c r="F84" s="103"/>
      <c r="G84" s="103"/>
      <c r="H84" s="80">
        <f>L84+I84</f>
        <v>0</v>
      </c>
      <c r="I84" s="103"/>
      <c r="J84" s="103"/>
      <c r="K84" s="103"/>
      <c r="L84" s="103"/>
      <c r="M84" s="103"/>
      <c r="N84" s="103"/>
      <c r="O84" s="103">
        <f t="shared" si="2"/>
        <v>0</v>
      </c>
    </row>
    <row r="85" spans="1:17" s="116" customFormat="1" ht="21.75" customHeight="1">
      <c r="B85" s="18" t="s">
        <v>249</v>
      </c>
      <c r="C85" s="18" t="s">
        <v>64</v>
      </c>
      <c r="D85" s="75" t="s">
        <v>251</v>
      </c>
      <c r="E85" s="103">
        <v>85</v>
      </c>
      <c r="F85" s="103"/>
      <c r="G85" s="103"/>
      <c r="H85" s="103"/>
      <c r="I85" s="103"/>
      <c r="J85" s="103"/>
      <c r="K85" s="103"/>
      <c r="L85" s="103"/>
      <c r="M85" s="103"/>
      <c r="N85" s="103"/>
      <c r="O85" s="103">
        <f t="shared" si="2"/>
        <v>85</v>
      </c>
    </row>
    <row r="86" spans="1:17" s="115" customFormat="1" ht="15.75">
      <c r="B86" s="30" t="s">
        <v>65</v>
      </c>
      <c r="C86" s="30"/>
      <c r="D86" s="76" t="s">
        <v>19</v>
      </c>
      <c r="E86" s="61">
        <f>E87+E90+E92</f>
        <v>60</v>
      </c>
      <c r="F86" s="61">
        <f>F87+F90+F92</f>
        <v>0</v>
      </c>
      <c r="G86" s="61">
        <f>G87+G90+G92</f>
        <v>0</v>
      </c>
      <c r="H86" s="61">
        <f>L86+I86</f>
        <v>0</v>
      </c>
      <c r="I86" s="61">
        <f>I90</f>
        <v>0</v>
      </c>
      <c r="J86" s="61"/>
      <c r="K86" s="61"/>
      <c r="L86" s="61">
        <f>L90</f>
        <v>0</v>
      </c>
      <c r="M86" s="61">
        <f>M90</f>
        <v>0</v>
      </c>
      <c r="N86" s="61">
        <f>N90</f>
        <v>0</v>
      </c>
      <c r="O86" s="61">
        <f t="shared" si="2"/>
        <v>60</v>
      </c>
    </row>
    <row r="87" spans="1:17" ht="15.75" hidden="1">
      <c r="B87" s="21" t="s">
        <v>66</v>
      </c>
      <c r="C87" s="21"/>
      <c r="D87" s="77" t="s">
        <v>67</v>
      </c>
      <c r="E87" s="80">
        <f>E88+E89</f>
        <v>0</v>
      </c>
      <c r="F87" s="80"/>
      <c r="G87" s="80"/>
      <c r="H87" s="80"/>
      <c r="I87" s="80"/>
      <c r="J87" s="80"/>
      <c r="K87" s="80"/>
      <c r="L87" s="80"/>
      <c r="M87" s="80"/>
      <c r="N87" s="80"/>
      <c r="O87" s="80">
        <f t="shared" si="2"/>
        <v>0</v>
      </c>
    </row>
    <row r="88" spans="1:17" s="116" customFormat="1" ht="30" hidden="1">
      <c r="B88" s="18" t="s">
        <v>68</v>
      </c>
      <c r="C88" s="18" t="s">
        <v>69</v>
      </c>
      <c r="D88" s="75" t="s">
        <v>70</v>
      </c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80">
        <f t="shared" si="2"/>
        <v>0</v>
      </c>
    </row>
    <row r="89" spans="1:17" s="116" customFormat="1" ht="30" hidden="1">
      <c r="B89" s="18" t="s">
        <v>120</v>
      </c>
      <c r="C89" s="18" t="s">
        <v>69</v>
      </c>
      <c r="D89" s="75" t="s">
        <v>121</v>
      </c>
      <c r="E89" s="103"/>
      <c r="F89" s="103"/>
      <c r="G89" s="103"/>
      <c r="H89" s="103"/>
      <c r="I89" s="103"/>
      <c r="J89" s="103"/>
      <c r="K89" s="103"/>
      <c r="L89" s="103"/>
      <c r="M89" s="103"/>
      <c r="N89" s="103"/>
      <c r="O89" s="103">
        <f>E89+H89</f>
        <v>0</v>
      </c>
    </row>
    <row r="90" spans="1:17" ht="16.5" customHeight="1">
      <c r="B90" s="21" t="s">
        <v>126</v>
      </c>
      <c r="C90" s="21"/>
      <c r="D90" s="22" t="s">
        <v>125</v>
      </c>
      <c r="E90" s="80">
        <f>E91</f>
        <v>60</v>
      </c>
      <c r="F90" s="80">
        <f>F91</f>
        <v>0</v>
      </c>
      <c r="G90" s="80">
        <f>G91</f>
        <v>0</v>
      </c>
      <c r="H90" s="80">
        <f>I90+L90</f>
        <v>0</v>
      </c>
      <c r="I90" s="80">
        <f>I91</f>
        <v>0</v>
      </c>
      <c r="J90" s="80"/>
      <c r="K90" s="80"/>
      <c r="L90" s="80">
        <f>L91</f>
        <v>0</v>
      </c>
      <c r="M90" s="80">
        <f>M91</f>
        <v>0</v>
      </c>
      <c r="N90" s="80">
        <f>N91</f>
        <v>0</v>
      </c>
      <c r="O90" s="80">
        <f>O91</f>
        <v>60</v>
      </c>
    </row>
    <row r="91" spans="1:17" s="116" customFormat="1" ht="33" customHeight="1">
      <c r="B91" s="18" t="s">
        <v>127</v>
      </c>
      <c r="C91" s="18" t="s">
        <v>69</v>
      </c>
      <c r="D91" s="75" t="s">
        <v>130</v>
      </c>
      <c r="E91" s="103">
        <v>60</v>
      </c>
      <c r="F91" s="103"/>
      <c r="G91" s="103"/>
      <c r="H91" s="103">
        <f>I91+L91</f>
        <v>0</v>
      </c>
      <c r="I91" s="103"/>
      <c r="J91" s="103"/>
      <c r="K91" s="103"/>
      <c r="L91" s="103"/>
      <c r="M91" s="103"/>
      <c r="N91" s="103"/>
      <c r="O91" s="103">
        <f>E91+H91</f>
        <v>60</v>
      </c>
    </row>
    <row r="92" spans="1:17" ht="2.25" hidden="1" customHeight="1">
      <c r="B92" s="21" t="s">
        <v>131</v>
      </c>
      <c r="C92" s="21"/>
      <c r="D92" s="77" t="s">
        <v>132</v>
      </c>
      <c r="E92" s="80">
        <f>E93</f>
        <v>0</v>
      </c>
      <c r="F92" s="80"/>
      <c r="G92" s="80"/>
      <c r="H92" s="80"/>
      <c r="I92" s="80"/>
      <c r="J92" s="80"/>
      <c r="K92" s="80"/>
      <c r="L92" s="80"/>
      <c r="M92" s="80"/>
      <c r="N92" s="80"/>
      <c r="O92" s="80">
        <f>E92+H92</f>
        <v>0</v>
      </c>
    </row>
    <row r="93" spans="1:17" ht="2.25" hidden="1" customHeight="1">
      <c r="B93" s="18" t="s">
        <v>133</v>
      </c>
      <c r="C93" s="18" t="s">
        <v>69</v>
      </c>
      <c r="D93" s="78" t="s">
        <v>134</v>
      </c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>
        <f>E93</f>
        <v>0</v>
      </c>
    </row>
    <row r="94" spans="1:17" ht="15.75">
      <c r="B94" s="30" t="s">
        <v>56</v>
      </c>
      <c r="C94" s="21"/>
      <c r="D94" s="31" t="s">
        <v>14</v>
      </c>
      <c r="E94" s="61">
        <f>E95+E102+E104</f>
        <v>400</v>
      </c>
      <c r="F94" s="61"/>
      <c r="G94" s="61"/>
      <c r="H94" s="61">
        <f>L94+I94</f>
        <v>12391.797999999999</v>
      </c>
      <c r="I94" s="61"/>
      <c r="J94" s="61"/>
      <c r="K94" s="61"/>
      <c r="L94" s="61">
        <f>L95+L102+L103+L104</f>
        <v>12391.797999999999</v>
      </c>
      <c r="M94" s="61">
        <f t="shared" ref="M94:N94" si="26">M95+M102+M103+M104</f>
        <v>12391.797999999999</v>
      </c>
      <c r="N94" s="61">
        <f t="shared" si="26"/>
        <v>12391.797999999999</v>
      </c>
      <c r="O94" s="61">
        <f t="shared" si="2"/>
        <v>12791.797999999999</v>
      </c>
      <c r="Q94" s="119">
        <f>L94+L108+L112+L115</f>
        <v>28881.78198</v>
      </c>
    </row>
    <row r="95" spans="1:17" s="44" customFormat="1" ht="31.5">
      <c r="B95" s="63" t="s">
        <v>57</v>
      </c>
      <c r="C95" s="63"/>
      <c r="D95" s="15" t="s">
        <v>244</v>
      </c>
      <c r="E95" s="80">
        <f>E96+E97+E98+E99+E100+E101</f>
        <v>200</v>
      </c>
      <c r="F95" s="80"/>
      <c r="G95" s="80"/>
      <c r="H95" s="80">
        <f>I95+L95</f>
        <v>11956.393999999998</v>
      </c>
      <c r="I95" s="80"/>
      <c r="J95" s="80"/>
      <c r="K95" s="80"/>
      <c r="L95" s="80">
        <f>L96+L97+L98+L99+L100+L101</f>
        <v>11956.393999999998</v>
      </c>
      <c r="M95" s="80">
        <f t="shared" ref="M95:N95" si="27">M96+M97+M98+M99+M100+M101</f>
        <v>11956.393999999998</v>
      </c>
      <c r="N95" s="80">
        <f t="shared" si="27"/>
        <v>11956.393999999998</v>
      </c>
      <c r="O95" s="80">
        <f>E95+H95</f>
        <v>12156.393999999998</v>
      </c>
      <c r="P95" s="47"/>
      <c r="Q95" s="47"/>
    </row>
    <row r="96" spans="1:17" ht="31.5">
      <c r="A96" s="116">
        <v>200</v>
      </c>
      <c r="B96" s="18" t="s">
        <v>183</v>
      </c>
      <c r="C96" s="18" t="s">
        <v>59</v>
      </c>
      <c r="D96" s="17" t="s">
        <v>245</v>
      </c>
      <c r="E96" s="103"/>
      <c r="F96" s="103"/>
      <c r="G96" s="103"/>
      <c r="H96" s="103">
        <f>L96+I96</f>
        <v>5704</v>
      </c>
      <c r="I96" s="103"/>
      <c r="J96" s="103"/>
      <c r="K96" s="103"/>
      <c r="L96" s="103">
        <f>80+40+392+6692-1500</f>
        <v>5704</v>
      </c>
      <c r="M96" s="103">
        <f>80+40+392+6692-1500</f>
        <v>5704</v>
      </c>
      <c r="N96" s="103">
        <f>80+40+392+6692-1500</f>
        <v>5704</v>
      </c>
      <c r="O96" s="103">
        <f>E96+H96</f>
        <v>5704</v>
      </c>
    </row>
    <row r="97" spans="1:15" ht="47.25" hidden="1">
      <c r="A97" s="116"/>
      <c r="B97" s="18" t="s">
        <v>187</v>
      </c>
      <c r="C97" s="18" t="s">
        <v>59</v>
      </c>
      <c r="D97" s="51" t="s">
        <v>186</v>
      </c>
      <c r="E97" s="103"/>
      <c r="F97" s="103"/>
      <c r="G97" s="103"/>
      <c r="H97" s="103">
        <f t="shared" ref="H97:H99" si="28">L97+I97</f>
        <v>0</v>
      </c>
      <c r="I97" s="103"/>
      <c r="J97" s="103"/>
      <c r="K97" s="103"/>
      <c r="L97" s="103"/>
      <c r="M97" s="103"/>
      <c r="N97" s="103"/>
      <c r="O97" s="103">
        <f t="shared" ref="O97:O104" si="29">E97+H97</f>
        <v>0</v>
      </c>
    </row>
    <row r="98" spans="1:15" ht="31.5">
      <c r="A98" s="116">
        <v>531.4</v>
      </c>
      <c r="B98" s="18" t="s">
        <v>184</v>
      </c>
      <c r="C98" s="18" t="s">
        <v>59</v>
      </c>
      <c r="D98" s="17" t="s">
        <v>185</v>
      </c>
      <c r="E98" s="103"/>
      <c r="F98" s="103"/>
      <c r="G98" s="103"/>
      <c r="H98" s="103">
        <f t="shared" si="28"/>
        <v>363.3</v>
      </c>
      <c r="I98" s="103"/>
      <c r="J98" s="103"/>
      <c r="K98" s="103"/>
      <c r="L98" s="103">
        <f>250+113.3</f>
        <v>363.3</v>
      </c>
      <c r="M98" s="103">
        <f>250+113.3</f>
        <v>363.3</v>
      </c>
      <c r="N98" s="103">
        <f>250+113.3</f>
        <v>363.3</v>
      </c>
      <c r="O98" s="103">
        <f t="shared" si="29"/>
        <v>363.3</v>
      </c>
    </row>
    <row r="99" spans="1:15" ht="31.5">
      <c r="A99" s="116">
        <v>500</v>
      </c>
      <c r="B99" s="18" t="s">
        <v>218</v>
      </c>
      <c r="C99" s="18" t="s">
        <v>59</v>
      </c>
      <c r="D99" s="17" t="s">
        <v>219</v>
      </c>
      <c r="E99" s="103"/>
      <c r="F99" s="103"/>
      <c r="G99" s="103"/>
      <c r="H99" s="103">
        <f t="shared" si="28"/>
        <v>3850</v>
      </c>
      <c r="I99" s="103"/>
      <c r="J99" s="103"/>
      <c r="K99" s="103"/>
      <c r="L99" s="103">
        <v>3850</v>
      </c>
      <c r="M99" s="103">
        <v>3850</v>
      </c>
      <c r="N99" s="103">
        <v>3850</v>
      </c>
      <c r="O99" s="103">
        <f t="shared" si="29"/>
        <v>3850</v>
      </c>
    </row>
    <row r="100" spans="1:15" ht="47.25">
      <c r="A100" s="116">
        <v>500</v>
      </c>
      <c r="B100" s="18" t="s">
        <v>284</v>
      </c>
      <c r="C100" s="18" t="s">
        <v>59</v>
      </c>
      <c r="D100" s="17" t="s">
        <v>285</v>
      </c>
      <c r="E100" s="103"/>
      <c r="F100" s="103"/>
      <c r="G100" s="103"/>
      <c r="H100" s="103">
        <f t="shared" ref="H100" si="30">L100+I100</f>
        <v>81.093999999999994</v>
      </c>
      <c r="I100" s="103"/>
      <c r="J100" s="103"/>
      <c r="K100" s="103"/>
      <c r="L100" s="103">
        <v>81.093999999999994</v>
      </c>
      <c r="M100" s="103">
        <v>81.093999999999994</v>
      </c>
      <c r="N100" s="103">
        <v>81.093999999999994</v>
      </c>
      <c r="O100" s="103">
        <f t="shared" ref="O100" si="31">E100+H100</f>
        <v>81.093999999999994</v>
      </c>
    </row>
    <row r="101" spans="1:15" ht="46.5" customHeight="1">
      <c r="A101" s="116">
        <v>500</v>
      </c>
      <c r="B101" s="18" t="s">
        <v>286</v>
      </c>
      <c r="C101" s="18" t="s">
        <v>59</v>
      </c>
      <c r="D101" s="17" t="s">
        <v>287</v>
      </c>
      <c r="E101" s="103">
        <v>200</v>
      </c>
      <c r="F101" s="103"/>
      <c r="G101" s="103"/>
      <c r="H101" s="103">
        <f t="shared" ref="H101" si="32">L101+I101</f>
        <v>1958</v>
      </c>
      <c r="I101" s="103"/>
      <c r="J101" s="103"/>
      <c r="K101" s="103"/>
      <c r="L101" s="103">
        <f>458+1500</f>
        <v>1958</v>
      </c>
      <c r="M101" s="103">
        <f>458+1500</f>
        <v>1958</v>
      </c>
      <c r="N101" s="103">
        <f>458+1500</f>
        <v>1958</v>
      </c>
      <c r="O101" s="103">
        <f t="shared" ref="O101" si="33">E101+H101</f>
        <v>2158</v>
      </c>
    </row>
    <row r="102" spans="1:15" s="44" customFormat="1" ht="18" customHeight="1">
      <c r="A102" s="44">
        <f>12448.8+1200+7446.5+300+10705.4+9+860+200+1000+6300-661.2</f>
        <v>39808.5</v>
      </c>
      <c r="B102" s="63" t="s">
        <v>58</v>
      </c>
      <c r="C102" s="63" t="s">
        <v>59</v>
      </c>
      <c r="D102" s="81" t="s">
        <v>175</v>
      </c>
      <c r="E102" s="82">
        <v>200</v>
      </c>
      <c r="F102" s="82"/>
      <c r="G102" s="82"/>
      <c r="H102" s="82">
        <f>L102</f>
        <v>435.404</v>
      </c>
      <c r="I102" s="82"/>
      <c r="J102" s="82"/>
      <c r="K102" s="82"/>
      <c r="L102" s="82">
        <f>18.468+18.468+18.468+200+180</f>
        <v>435.404</v>
      </c>
      <c r="M102" s="82">
        <f>18.468+18.468+18.468+200+180</f>
        <v>435.404</v>
      </c>
      <c r="N102" s="82">
        <f>18.468+18.468+18.468+200+180</f>
        <v>435.404</v>
      </c>
      <c r="O102" s="80">
        <f t="shared" si="29"/>
        <v>635.404</v>
      </c>
    </row>
    <row r="103" spans="1:15" s="44" customFormat="1" ht="47.25" hidden="1">
      <c r="A103" s="44">
        <f>12448.8+1200+7446.5+300+10705.4+9+860+200+1000+6300-661.2</f>
        <v>39808.5</v>
      </c>
      <c r="B103" s="63" t="s">
        <v>288</v>
      </c>
      <c r="C103" s="63" t="s">
        <v>59</v>
      </c>
      <c r="D103" s="81" t="s">
        <v>289</v>
      </c>
      <c r="E103" s="82"/>
      <c r="F103" s="82"/>
      <c r="G103" s="82"/>
      <c r="H103" s="82">
        <f>L103</f>
        <v>0</v>
      </c>
      <c r="I103" s="82"/>
      <c r="J103" s="82"/>
      <c r="K103" s="82"/>
      <c r="L103" s="82"/>
      <c r="M103" s="82"/>
      <c r="N103" s="82"/>
      <c r="O103" s="80">
        <f t="shared" ref="O103" si="34">E103+H103</f>
        <v>0</v>
      </c>
    </row>
    <row r="104" spans="1:15" ht="31.5" hidden="1">
      <c r="A104" s="55">
        <v>490</v>
      </c>
      <c r="B104" s="21" t="s">
        <v>229</v>
      </c>
      <c r="C104" s="21" t="s">
        <v>220</v>
      </c>
      <c r="D104" s="42" t="s">
        <v>230</v>
      </c>
      <c r="E104" s="80"/>
      <c r="F104" s="80"/>
      <c r="G104" s="80"/>
      <c r="H104" s="80">
        <f>I104+L104</f>
        <v>0</v>
      </c>
      <c r="I104" s="80"/>
      <c r="J104" s="80"/>
      <c r="K104" s="80"/>
      <c r="L104" s="80"/>
      <c r="M104" s="80"/>
      <c r="N104" s="80"/>
      <c r="O104" s="80">
        <f t="shared" si="29"/>
        <v>0</v>
      </c>
    </row>
    <row r="105" spans="1:15" s="120" customFormat="1" ht="18.75" customHeight="1">
      <c r="B105" s="30" t="s">
        <v>171</v>
      </c>
      <c r="C105" s="21"/>
      <c r="D105" s="31" t="s">
        <v>172</v>
      </c>
      <c r="E105" s="61">
        <f>E106+E108+E112+E115</f>
        <v>1502.4</v>
      </c>
      <c r="F105" s="61"/>
      <c r="G105" s="61"/>
      <c r="H105" s="85">
        <f>I105+L105</f>
        <v>16689.983980000001</v>
      </c>
      <c r="I105" s="61">
        <f>I106+I108+I112+I115</f>
        <v>0</v>
      </c>
      <c r="J105" s="61">
        <f t="shared" ref="J105:M105" si="35">J106+J108+J112+J115</f>
        <v>0</v>
      </c>
      <c r="K105" s="61">
        <f t="shared" si="35"/>
        <v>0</v>
      </c>
      <c r="L105" s="61">
        <f t="shared" si="35"/>
        <v>16689.983980000001</v>
      </c>
      <c r="M105" s="61">
        <f t="shared" si="35"/>
        <v>5506.5</v>
      </c>
      <c r="N105" s="61">
        <f>N106+N108+N112+N115</f>
        <v>5506.5</v>
      </c>
      <c r="O105" s="85">
        <f>E105+H105</f>
        <v>18192.383980000002</v>
      </c>
    </row>
    <row r="106" spans="1:15" s="115" customFormat="1" ht="29.25" hidden="1">
      <c r="B106" s="30" t="s">
        <v>169</v>
      </c>
      <c r="C106" s="30"/>
      <c r="D106" s="74" t="s">
        <v>276</v>
      </c>
      <c r="E106" s="85">
        <f>E107</f>
        <v>0</v>
      </c>
      <c r="F106" s="85"/>
      <c r="G106" s="85"/>
      <c r="H106" s="85">
        <f t="shared" ref="H106:H107" si="36">I106+L106</f>
        <v>200</v>
      </c>
      <c r="I106" s="85">
        <f>I107</f>
        <v>0</v>
      </c>
      <c r="J106" s="85">
        <f t="shared" ref="J106:N106" si="37">J107</f>
        <v>0</v>
      </c>
      <c r="K106" s="85">
        <f t="shared" si="37"/>
        <v>0</v>
      </c>
      <c r="L106" s="85">
        <f t="shared" si="37"/>
        <v>200</v>
      </c>
      <c r="M106" s="85">
        <f t="shared" si="37"/>
        <v>200</v>
      </c>
      <c r="N106" s="85">
        <f t="shared" si="37"/>
        <v>200</v>
      </c>
      <c r="O106" s="85">
        <f t="shared" ref="O106:O107" si="38">E106+H106</f>
        <v>200</v>
      </c>
    </row>
    <row r="107" spans="1:15" s="116" customFormat="1" ht="15.75">
      <c r="B107" s="21" t="s">
        <v>191</v>
      </c>
      <c r="C107" s="21" t="s">
        <v>135</v>
      </c>
      <c r="D107" s="70" t="s">
        <v>170</v>
      </c>
      <c r="E107" s="102"/>
      <c r="F107" s="102"/>
      <c r="G107" s="102"/>
      <c r="H107" s="102">
        <f t="shared" si="36"/>
        <v>200</v>
      </c>
      <c r="I107" s="102"/>
      <c r="J107" s="102"/>
      <c r="K107" s="102"/>
      <c r="L107" s="102">
        <v>200</v>
      </c>
      <c r="M107" s="102">
        <v>200</v>
      </c>
      <c r="N107" s="102">
        <v>200</v>
      </c>
      <c r="O107" s="102">
        <f t="shared" si="38"/>
        <v>200</v>
      </c>
    </row>
    <row r="108" spans="1:15" ht="18" customHeight="1">
      <c r="B108" s="30" t="s">
        <v>136</v>
      </c>
      <c r="C108" s="21"/>
      <c r="D108" s="31" t="s">
        <v>173</v>
      </c>
      <c r="E108" s="61">
        <f>E109+E110+E111</f>
        <v>750</v>
      </c>
      <c r="F108" s="61"/>
      <c r="G108" s="61"/>
      <c r="H108" s="61">
        <f>I108+L108</f>
        <v>3911.9</v>
      </c>
      <c r="I108" s="61">
        <f t="shared" ref="I108:K108" si="39">I111</f>
        <v>0</v>
      </c>
      <c r="J108" s="61">
        <f t="shared" si="39"/>
        <v>0</v>
      </c>
      <c r="K108" s="61">
        <f t="shared" si="39"/>
        <v>0</v>
      </c>
      <c r="L108" s="61">
        <f>L109+L110+L111</f>
        <v>3911.9</v>
      </c>
      <c r="M108" s="61">
        <f t="shared" ref="M108:N108" si="40">M109+M110+M111</f>
        <v>3911.9</v>
      </c>
      <c r="N108" s="61">
        <f t="shared" si="40"/>
        <v>3911.9</v>
      </c>
      <c r="O108" s="61">
        <f>E108+H108</f>
        <v>4661.8999999999996</v>
      </c>
    </row>
    <row r="109" spans="1:15" ht="30" hidden="1">
      <c r="B109" s="21" t="s">
        <v>137</v>
      </c>
      <c r="C109" s="21" t="s">
        <v>72</v>
      </c>
      <c r="D109" s="48" t="s">
        <v>174</v>
      </c>
      <c r="E109" s="80"/>
      <c r="F109" s="80"/>
      <c r="G109" s="80"/>
      <c r="H109" s="80">
        <f>L109</f>
        <v>0</v>
      </c>
      <c r="I109" s="80"/>
      <c r="J109" s="80"/>
      <c r="K109" s="80"/>
      <c r="L109" s="80"/>
      <c r="M109" s="80"/>
      <c r="N109" s="80"/>
      <c r="O109" s="80">
        <f>E109+H109</f>
        <v>0</v>
      </c>
    </row>
    <row r="110" spans="1:15" ht="32.25" customHeight="1">
      <c r="B110" s="21" t="s">
        <v>228</v>
      </c>
      <c r="C110" s="21" t="s">
        <v>72</v>
      </c>
      <c r="D110" s="42" t="s">
        <v>275</v>
      </c>
      <c r="E110" s="80">
        <v>750</v>
      </c>
      <c r="F110" s="80"/>
      <c r="G110" s="80"/>
      <c r="H110" s="80">
        <f>L110</f>
        <v>9.4</v>
      </c>
      <c r="I110" s="80"/>
      <c r="J110" s="80"/>
      <c r="K110" s="80"/>
      <c r="L110" s="80">
        <v>9.4</v>
      </c>
      <c r="M110" s="80">
        <v>9.4</v>
      </c>
      <c r="N110" s="80">
        <v>9.4</v>
      </c>
      <c r="O110" s="80">
        <f t="shared" ref="O110" si="41">E110+H110</f>
        <v>759.4</v>
      </c>
    </row>
    <row r="111" spans="1:15" s="116" customFormat="1" ht="38.25" customHeight="1">
      <c r="B111" s="21" t="s">
        <v>252</v>
      </c>
      <c r="C111" s="21" t="s">
        <v>71</v>
      </c>
      <c r="D111" s="39" t="s">
        <v>192</v>
      </c>
      <c r="E111" s="102"/>
      <c r="F111" s="102"/>
      <c r="G111" s="102"/>
      <c r="H111" s="80">
        <f>L111</f>
        <v>3902.5</v>
      </c>
      <c r="I111" s="102"/>
      <c r="J111" s="102"/>
      <c r="K111" s="102"/>
      <c r="L111" s="80">
        <f>1500+1500+135+767.5</f>
        <v>3902.5</v>
      </c>
      <c r="M111" s="80">
        <f>1500+1500+135+767.5</f>
        <v>3902.5</v>
      </c>
      <c r="N111" s="80">
        <f>1500+1500+135+767.5</f>
        <v>3902.5</v>
      </c>
      <c r="O111" s="80">
        <f t="shared" ref="O111" si="42">E111+H111</f>
        <v>3902.5</v>
      </c>
    </row>
    <row r="112" spans="1:15" ht="27" customHeight="1">
      <c r="B112" s="30" t="s">
        <v>77</v>
      </c>
      <c r="C112" s="21"/>
      <c r="D112" s="31" t="s">
        <v>163</v>
      </c>
      <c r="E112" s="61">
        <f>E113</f>
        <v>752.4</v>
      </c>
      <c r="F112" s="61"/>
      <c r="G112" s="61"/>
      <c r="H112" s="61">
        <f t="shared" ref="H112:N112" si="43">H114</f>
        <v>1394.6</v>
      </c>
      <c r="I112" s="61">
        <f t="shared" si="43"/>
        <v>0</v>
      </c>
      <c r="J112" s="61">
        <f t="shared" si="43"/>
        <v>0</v>
      </c>
      <c r="K112" s="61">
        <f t="shared" si="43"/>
        <v>0</v>
      </c>
      <c r="L112" s="61">
        <f t="shared" si="43"/>
        <v>1394.6</v>
      </c>
      <c r="M112" s="61">
        <f t="shared" si="43"/>
        <v>1394.6</v>
      </c>
      <c r="N112" s="61">
        <f t="shared" si="43"/>
        <v>1394.6</v>
      </c>
      <c r="O112" s="61">
        <f t="shared" ref="O112" si="44">E112+H112</f>
        <v>2147</v>
      </c>
    </row>
    <row r="113" spans="1:15" ht="30">
      <c r="B113" s="21" t="s">
        <v>164</v>
      </c>
      <c r="C113" s="21"/>
      <c r="D113" s="48" t="s">
        <v>165</v>
      </c>
      <c r="E113" s="80">
        <f>E114</f>
        <v>752.4</v>
      </c>
      <c r="F113" s="80"/>
      <c r="G113" s="80"/>
      <c r="H113" s="80">
        <f>I113+L113</f>
        <v>1394.6</v>
      </c>
      <c r="I113" s="80">
        <f t="shared" ref="I113:N113" si="45">I114</f>
        <v>0</v>
      </c>
      <c r="J113" s="80">
        <f t="shared" si="45"/>
        <v>0</v>
      </c>
      <c r="K113" s="80">
        <f t="shared" si="45"/>
        <v>0</v>
      </c>
      <c r="L113" s="80">
        <f t="shared" si="45"/>
        <v>1394.6</v>
      </c>
      <c r="M113" s="80">
        <f t="shared" si="45"/>
        <v>1394.6</v>
      </c>
      <c r="N113" s="80">
        <f t="shared" si="45"/>
        <v>1394.6</v>
      </c>
      <c r="O113" s="82">
        <f t="shared" ref="O113:O114" si="46">E113+H113</f>
        <v>2147</v>
      </c>
    </row>
    <row r="114" spans="1:15" s="116" customFormat="1" ht="47.25">
      <c r="A114" s="116">
        <f>12000+2000</f>
        <v>14000</v>
      </c>
      <c r="B114" s="18" t="s">
        <v>167</v>
      </c>
      <c r="C114" s="18" t="s">
        <v>75</v>
      </c>
      <c r="D114" s="17" t="s">
        <v>166</v>
      </c>
      <c r="E114" s="102">
        <v>752.4</v>
      </c>
      <c r="F114" s="102"/>
      <c r="G114" s="102"/>
      <c r="H114" s="102">
        <f>I114+L114</f>
        <v>1394.6</v>
      </c>
      <c r="I114" s="102"/>
      <c r="J114" s="102"/>
      <c r="K114" s="102"/>
      <c r="L114" s="102">
        <v>1394.6</v>
      </c>
      <c r="M114" s="102">
        <v>1394.6</v>
      </c>
      <c r="N114" s="102">
        <v>1394.6</v>
      </c>
      <c r="O114" s="102">
        <f t="shared" si="46"/>
        <v>2147</v>
      </c>
    </row>
    <row r="115" spans="1:15" ht="31.5">
      <c r="B115" s="30" t="s">
        <v>193</v>
      </c>
      <c r="C115" s="18"/>
      <c r="D115" s="53" t="s">
        <v>194</v>
      </c>
      <c r="E115" s="61">
        <f>E116+E117+E118+E119+E120+E121</f>
        <v>0</v>
      </c>
      <c r="F115" s="61"/>
      <c r="G115" s="61"/>
      <c r="H115" s="61">
        <f>I115+L115</f>
        <v>11183.483980000001</v>
      </c>
      <c r="I115" s="61"/>
      <c r="J115" s="61"/>
      <c r="K115" s="61"/>
      <c r="L115" s="61">
        <f>L119+L117+L121</f>
        <v>11183.483980000001</v>
      </c>
      <c r="M115" s="61">
        <f t="shared" ref="M115:N115" si="47">M119+M117+M121</f>
        <v>0</v>
      </c>
      <c r="N115" s="61">
        <f t="shared" si="47"/>
        <v>0</v>
      </c>
      <c r="O115" s="85">
        <f t="shared" ref="O115:O136" si="48">E115+H115</f>
        <v>11183.483980000001</v>
      </c>
    </row>
    <row r="116" spans="1:15" ht="31.5" hidden="1">
      <c r="B116" s="21" t="s">
        <v>211</v>
      </c>
      <c r="C116" s="21" t="s">
        <v>212</v>
      </c>
      <c r="D116" s="39" t="s">
        <v>213</v>
      </c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>
        <f t="shared" si="48"/>
        <v>0</v>
      </c>
    </row>
    <row r="117" spans="1:15" ht="15.75" hidden="1">
      <c r="B117" s="21" t="s">
        <v>195</v>
      </c>
      <c r="C117" s="21" t="s">
        <v>78</v>
      </c>
      <c r="D117" s="15" t="s">
        <v>79</v>
      </c>
      <c r="E117" s="80"/>
      <c r="F117" s="80"/>
      <c r="G117" s="80"/>
      <c r="H117" s="80">
        <f>L117+I117</f>
        <v>0</v>
      </c>
      <c r="I117" s="80"/>
      <c r="J117" s="80"/>
      <c r="K117" s="80"/>
      <c r="L117" s="80"/>
      <c r="M117" s="80"/>
      <c r="N117" s="80"/>
      <c r="O117" s="80">
        <f t="shared" si="48"/>
        <v>0</v>
      </c>
    </row>
    <row r="118" spans="1:15" ht="31.5" hidden="1">
      <c r="B118" s="21" t="s">
        <v>201</v>
      </c>
      <c r="C118" s="21" t="s">
        <v>71</v>
      </c>
      <c r="D118" s="15" t="s">
        <v>202</v>
      </c>
      <c r="E118" s="80"/>
      <c r="F118" s="80"/>
      <c r="G118" s="80"/>
      <c r="H118" s="80"/>
      <c r="I118" s="80"/>
      <c r="J118" s="80"/>
      <c r="K118" s="80"/>
      <c r="L118" s="80"/>
      <c r="M118" s="80"/>
      <c r="N118" s="80"/>
      <c r="O118" s="80">
        <f t="shared" si="48"/>
        <v>0</v>
      </c>
    </row>
    <row r="119" spans="1:15" ht="31.5" hidden="1">
      <c r="B119" s="21" t="s">
        <v>196</v>
      </c>
      <c r="C119" s="21" t="s">
        <v>71</v>
      </c>
      <c r="D119" s="42" t="s">
        <v>197</v>
      </c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>
        <f>E119+H119</f>
        <v>0</v>
      </c>
    </row>
    <row r="120" spans="1:15" ht="31.5" hidden="1">
      <c r="B120" s="21" t="s">
        <v>208</v>
      </c>
      <c r="C120" s="21" t="s">
        <v>71</v>
      </c>
      <c r="D120" s="42" t="s">
        <v>209</v>
      </c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>
        <f t="shared" si="48"/>
        <v>0</v>
      </c>
    </row>
    <row r="121" spans="1:15" ht="15.75">
      <c r="B121" s="21" t="s">
        <v>221</v>
      </c>
      <c r="C121" s="21"/>
      <c r="D121" s="42" t="s">
        <v>222</v>
      </c>
      <c r="E121" s="80"/>
      <c r="F121" s="80"/>
      <c r="G121" s="80"/>
      <c r="H121" s="80">
        <f>H122+H123</f>
        <v>11183.483980000001</v>
      </c>
      <c r="I121" s="80">
        <f t="shared" ref="I121:N121" si="49">I122+I123</f>
        <v>0</v>
      </c>
      <c r="J121" s="80">
        <f t="shared" si="49"/>
        <v>0</v>
      </c>
      <c r="K121" s="80">
        <f t="shared" si="49"/>
        <v>0</v>
      </c>
      <c r="L121" s="80">
        <f t="shared" si="49"/>
        <v>11183.483980000001</v>
      </c>
      <c r="M121" s="80">
        <f t="shared" si="49"/>
        <v>0</v>
      </c>
      <c r="N121" s="80">
        <f t="shared" si="49"/>
        <v>0</v>
      </c>
      <c r="O121" s="82">
        <f t="shared" si="48"/>
        <v>11183.483980000001</v>
      </c>
    </row>
    <row r="122" spans="1:15" ht="126">
      <c r="B122" s="21" t="s">
        <v>301</v>
      </c>
      <c r="C122" s="21" t="s">
        <v>71</v>
      </c>
      <c r="D122" s="42" t="s">
        <v>302</v>
      </c>
      <c r="E122" s="80"/>
      <c r="F122" s="80"/>
      <c r="G122" s="80"/>
      <c r="H122" s="80">
        <f>I122+L122</f>
        <v>11183.483980000001</v>
      </c>
      <c r="I122" s="80"/>
      <c r="J122" s="80"/>
      <c r="K122" s="80"/>
      <c r="L122" s="80">
        <v>11183.483980000001</v>
      </c>
      <c r="M122" s="80"/>
      <c r="N122" s="80"/>
      <c r="O122" s="82">
        <f t="shared" si="48"/>
        <v>11183.483980000001</v>
      </c>
    </row>
    <row r="123" spans="1:15" s="111" customFormat="1" ht="31.5" hidden="1">
      <c r="B123" s="93" t="s">
        <v>253</v>
      </c>
      <c r="C123" s="93" t="s">
        <v>71</v>
      </c>
      <c r="D123" s="51" t="s">
        <v>277</v>
      </c>
      <c r="E123" s="107"/>
      <c r="F123" s="107"/>
      <c r="G123" s="107"/>
      <c r="H123" s="107">
        <f>I123+L123</f>
        <v>0</v>
      </c>
      <c r="I123" s="107">
        <v>0</v>
      </c>
      <c r="J123" s="107"/>
      <c r="K123" s="107"/>
      <c r="L123" s="107"/>
      <c r="M123" s="107"/>
      <c r="N123" s="107"/>
      <c r="O123" s="107">
        <f t="shared" si="48"/>
        <v>0</v>
      </c>
    </row>
    <row r="124" spans="1:15" s="84" customFormat="1" ht="15.75" hidden="1">
      <c r="B124" s="62" t="s">
        <v>83</v>
      </c>
      <c r="C124" s="62"/>
      <c r="D124" s="34" t="s">
        <v>168</v>
      </c>
      <c r="E124" s="61">
        <f>E125+E131+E133+E127</f>
        <v>0</v>
      </c>
      <c r="F124" s="61"/>
      <c r="G124" s="61"/>
      <c r="H124" s="61">
        <f>I124+L124</f>
        <v>0</v>
      </c>
      <c r="I124" s="61">
        <f t="shared" ref="I124:N124" si="50">I131+I133+I127</f>
        <v>0</v>
      </c>
      <c r="J124" s="61">
        <f t="shared" si="50"/>
        <v>0</v>
      </c>
      <c r="K124" s="61">
        <f t="shared" si="50"/>
        <v>0</v>
      </c>
      <c r="L124" s="61">
        <f t="shared" si="50"/>
        <v>0</v>
      </c>
      <c r="M124" s="61">
        <f t="shared" si="50"/>
        <v>0</v>
      </c>
      <c r="N124" s="61">
        <f t="shared" si="50"/>
        <v>0</v>
      </c>
      <c r="O124" s="61">
        <f>H124+E124</f>
        <v>0</v>
      </c>
    </row>
    <row r="125" spans="1:15" s="84" customFormat="1" ht="47.25" hidden="1">
      <c r="B125" s="62" t="s">
        <v>241</v>
      </c>
      <c r="C125" s="62"/>
      <c r="D125" s="34" t="s">
        <v>240</v>
      </c>
      <c r="E125" s="61">
        <f>E126</f>
        <v>0</v>
      </c>
      <c r="F125" s="61"/>
      <c r="G125" s="61"/>
      <c r="H125" s="61"/>
      <c r="I125" s="61"/>
      <c r="J125" s="61"/>
      <c r="K125" s="61"/>
      <c r="L125" s="61"/>
      <c r="M125" s="61"/>
      <c r="N125" s="61"/>
      <c r="O125" s="61">
        <f t="shared" ref="O125:O126" si="51">H125+E125</f>
        <v>0</v>
      </c>
    </row>
    <row r="126" spans="1:15" s="44" customFormat="1" ht="47.25" hidden="1">
      <c r="B126" s="63" t="s">
        <v>242</v>
      </c>
      <c r="C126" s="63" t="s">
        <v>243</v>
      </c>
      <c r="D126" s="15" t="s">
        <v>254</v>
      </c>
      <c r="E126" s="80"/>
      <c r="F126" s="80"/>
      <c r="G126" s="80"/>
      <c r="H126" s="80"/>
      <c r="I126" s="80"/>
      <c r="J126" s="80"/>
      <c r="K126" s="80"/>
      <c r="L126" s="80"/>
      <c r="M126" s="80"/>
      <c r="N126" s="80"/>
      <c r="O126" s="80">
        <f t="shared" si="51"/>
        <v>0</v>
      </c>
    </row>
    <row r="127" spans="1:15" s="44" customFormat="1" ht="31.5" hidden="1">
      <c r="B127" s="62" t="s">
        <v>198</v>
      </c>
      <c r="C127" s="63"/>
      <c r="D127" s="34" t="s">
        <v>199</v>
      </c>
      <c r="E127" s="85"/>
      <c r="F127" s="85"/>
      <c r="G127" s="85"/>
      <c r="H127" s="85">
        <f>I127+M127</f>
        <v>0</v>
      </c>
      <c r="I127" s="85">
        <f>I130+I128</f>
        <v>0</v>
      </c>
      <c r="J127" s="85"/>
      <c r="K127" s="85"/>
      <c r="L127" s="85">
        <f>L130+L128</f>
        <v>0</v>
      </c>
      <c r="M127" s="85">
        <f>M130+M128</f>
        <v>0</v>
      </c>
      <c r="N127" s="85">
        <f>N130+N128</f>
        <v>0</v>
      </c>
      <c r="O127" s="85">
        <f t="shared" si="48"/>
        <v>0</v>
      </c>
    </row>
    <row r="128" spans="1:15" s="44" customFormat="1" ht="31.5" hidden="1">
      <c r="B128" s="63" t="s">
        <v>214</v>
      </c>
      <c r="C128" s="63"/>
      <c r="D128" s="42" t="s">
        <v>215</v>
      </c>
      <c r="E128" s="82"/>
      <c r="F128" s="82"/>
      <c r="G128" s="82"/>
      <c r="H128" s="82">
        <f>I128+M128</f>
        <v>0</v>
      </c>
      <c r="I128" s="82"/>
      <c r="J128" s="82"/>
      <c r="K128" s="82"/>
      <c r="L128" s="82">
        <f>L129</f>
        <v>0</v>
      </c>
      <c r="M128" s="82">
        <f>M129</f>
        <v>0</v>
      </c>
      <c r="N128" s="82">
        <f>N129</f>
        <v>0</v>
      </c>
      <c r="O128" s="82">
        <f t="shared" si="48"/>
        <v>0</v>
      </c>
    </row>
    <row r="129" spans="2:17" s="116" customFormat="1" ht="31.5" hidden="1">
      <c r="B129" s="18" t="s">
        <v>223</v>
      </c>
      <c r="C129" s="18" t="s">
        <v>224</v>
      </c>
      <c r="D129" s="59" t="s">
        <v>225</v>
      </c>
      <c r="E129" s="102"/>
      <c r="F129" s="102"/>
      <c r="G129" s="102"/>
      <c r="H129" s="102">
        <f>I129+M129</f>
        <v>0</v>
      </c>
      <c r="I129" s="102"/>
      <c r="J129" s="102"/>
      <c r="K129" s="102"/>
      <c r="L129" s="102"/>
      <c r="M129" s="102"/>
      <c r="N129" s="102"/>
      <c r="O129" s="102">
        <f t="shared" si="48"/>
        <v>0</v>
      </c>
    </row>
    <row r="130" spans="2:17" ht="31.5" hidden="1">
      <c r="B130" s="21" t="s">
        <v>226</v>
      </c>
      <c r="C130" s="21" t="s">
        <v>81</v>
      </c>
      <c r="D130" s="15" t="s">
        <v>227</v>
      </c>
      <c r="E130" s="82"/>
      <c r="F130" s="82"/>
      <c r="G130" s="82"/>
      <c r="H130" s="82">
        <f t="shared" ref="H130" si="52">I130+M130</f>
        <v>0</v>
      </c>
      <c r="I130" s="82"/>
      <c r="J130" s="82"/>
      <c r="K130" s="82"/>
      <c r="L130" s="82"/>
      <c r="M130" s="82"/>
      <c r="N130" s="82"/>
      <c r="O130" s="82">
        <f t="shared" si="48"/>
        <v>0</v>
      </c>
    </row>
    <row r="131" spans="2:17" s="115" customFormat="1" ht="15.75" hidden="1">
      <c r="B131" s="30" t="s">
        <v>160</v>
      </c>
      <c r="C131" s="30"/>
      <c r="D131" s="67" t="s">
        <v>18</v>
      </c>
      <c r="E131" s="61">
        <f>E132</f>
        <v>0</v>
      </c>
      <c r="F131" s="61"/>
      <c r="G131" s="61"/>
      <c r="H131" s="61">
        <f>I131+L131</f>
        <v>0</v>
      </c>
      <c r="I131" s="61">
        <f t="shared" ref="I131" si="53">I132</f>
        <v>0</v>
      </c>
      <c r="J131" s="61">
        <f t="shared" ref="J131" si="54">J132</f>
        <v>0</v>
      </c>
      <c r="K131" s="61">
        <f t="shared" ref="K131" si="55">K132</f>
        <v>0</v>
      </c>
      <c r="L131" s="61">
        <f t="shared" ref="L131:M131" si="56">L132</f>
        <v>0</v>
      </c>
      <c r="M131" s="61">
        <f t="shared" si="56"/>
        <v>0</v>
      </c>
      <c r="N131" s="61">
        <f t="shared" ref="N131" si="57">N132</f>
        <v>0</v>
      </c>
      <c r="O131" s="61">
        <f>E131+H131</f>
        <v>0</v>
      </c>
    </row>
    <row r="132" spans="2:17" ht="31.5" hidden="1">
      <c r="B132" s="21" t="s">
        <v>161</v>
      </c>
      <c r="C132" s="21" t="s">
        <v>76</v>
      </c>
      <c r="D132" s="68" t="s">
        <v>159</v>
      </c>
      <c r="E132" s="80"/>
      <c r="F132" s="80"/>
      <c r="G132" s="80"/>
      <c r="H132" s="80">
        <f t="shared" ref="H132:H136" si="58">I132+L132</f>
        <v>0</v>
      </c>
      <c r="I132" s="80"/>
      <c r="J132" s="80"/>
      <c r="K132" s="80"/>
      <c r="L132" s="80"/>
      <c r="M132" s="80"/>
      <c r="N132" s="80"/>
      <c r="O132" s="80">
        <f t="shared" si="48"/>
        <v>0</v>
      </c>
    </row>
    <row r="133" spans="2:17" ht="15.75" hidden="1">
      <c r="B133" s="30" t="s">
        <v>203</v>
      </c>
      <c r="C133" s="30" t="s">
        <v>82</v>
      </c>
      <c r="D133" s="69" t="s">
        <v>17</v>
      </c>
      <c r="E133" s="61"/>
      <c r="F133" s="61"/>
      <c r="G133" s="61"/>
      <c r="H133" s="61">
        <f>I133+L133</f>
        <v>0</v>
      </c>
      <c r="I133" s="80"/>
      <c r="J133" s="80"/>
      <c r="K133" s="80"/>
      <c r="L133" s="80"/>
      <c r="M133" s="80"/>
      <c r="N133" s="80"/>
      <c r="O133" s="61">
        <f t="shared" si="48"/>
        <v>0</v>
      </c>
    </row>
    <row r="134" spans="2:17" ht="15.75" hidden="1">
      <c r="B134" s="30" t="s">
        <v>204</v>
      </c>
      <c r="C134" s="21"/>
      <c r="D134" s="31" t="s">
        <v>205</v>
      </c>
      <c r="E134" s="61">
        <f>E135</f>
        <v>0</v>
      </c>
      <c r="F134" s="61"/>
      <c r="G134" s="61"/>
      <c r="H134" s="61">
        <f>I134+L134</f>
        <v>0</v>
      </c>
      <c r="I134" s="61">
        <f>I135+I136</f>
        <v>0</v>
      </c>
      <c r="J134" s="61"/>
      <c r="K134" s="61"/>
      <c r="L134" s="61">
        <f>L135+L136</f>
        <v>0</v>
      </c>
      <c r="M134" s="61"/>
      <c r="N134" s="61"/>
      <c r="O134" s="61">
        <f t="shared" si="48"/>
        <v>0</v>
      </c>
    </row>
    <row r="135" spans="2:17" ht="15.75" hidden="1">
      <c r="B135" s="21" t="s">
        <v>80</v>
      </c>
      <c r="C135" s="21"/>
      <c r="D135" s="48" t="s">
        <v>278</v>
      </c>
      <c r="E135" s="80">
        <f>E136</f>
        <v>0</v>
      </c>
      <c r="F135" s="80"/>
      <c r="G135" s="80"/>
      <c r="H135" s="80">
        <f t="shared" si="58"/>
        <v>0</v>
      </c>
      <c r="I135" s="80"/>
      <c r="J135" s="80"/>
      <c r="K135" s="80"/>
      <c r="L135" s="80"/>
      <c r="M135" s="80"/>
      <c r="N135" s="80"/>
      <c r="O135" s="80">
        <f t="shared" si="48"/>
        <v>0</v>
      </c>
    </row>
    <row r="136" spans="2:17" ht="15.75" hidden="1">
      <c r="B136" s="21" t="s">
        <v>206</v>
      </c>
      <c r="C136" s="21" t="s">
        <v>26</v>
      </c>
      <c r="D136" s="66" t="s">
        <v>207</v>
      </c>
      <c r="E136" s="80"/>
      <c r="F136" s="80"/>
      <c r="G136" s="80"/>
      <c r="H136" s="80">
        <f t="shared" si="58"/>
        <v>0</v>
      </c>
      <c r="I136" s="80"/>
      <c r="J136" s="80"/>
      <c r="K136" s="80"/>
      <c r="L136" s="80"/>
      <c r="M136" s="80"/>
      <c r="N136" s="80"/>
      <c r="O136" s="80">
        <f t="shared" si="48"/>
        <v>0</v>
      </c>
    </row>
    <row r="137" spans="2:17" s="115" customFormat="1" ht="15.75">
      <c r="B137" s="30" t="s">
        <v>305</v>
      </c>
      <c r="C137" s="30" t="s">
        <v>26</v>
      </c>
      <c r="D137" s="69" t="s">
        <v>306</v>
      </c>
      <c r="E137" s="61">
        <v>15</v>
      </c>
      <c r="F137" s="61"/>
      <c r="G137" s="61"/>
      <c r="H137" s="61">
        <f>L137</f>
        <v>313</v>
      </c>
      <c r="I137" s="61"/>
      <c r="J137" s="61"/>
      <c r="K137" s="61"/>
      <c r="L137" s="61">
        <v>313</v>
      </c>
      <c r="M137" s="61">
        <v>313</v>
      </c>
      <c r="N137" s="61">
        <v>313</v>
      </c>
      <c r="O137" s="61">
        <f t="shared" ref="O137:O138" si="59">E137+H137</f>
        <v>328</v>
      </c>
    </row>
    <row r="138" spans="2:17" ht="43.5">
      <c r="B138" s="30" t="s">
        <v>290</v>
      </c>
      <c r="C138" s="30" t="s">
        <v>26</v>
      </c>
      <c r="D138" s="31" t="s">
        <v>291</v>
      </c>
      <c r="E138" s="61">
        <f>850+1238.8+301</f>
        <v>2389.8000000000002</v>
      </c>
      <c r="F138" s="61"/>
      <c r="G138" s="61"/>
      <c r="H138" s="61">
        <f>I138+L138</f>
        <v>3669</v>
      </c>
      <c r="I138" s="61"/>
      <c r="J138" s="61"/>
      <c r="K138" s="61"/>
      <c r="L138" s="61">
        <f>1700+1630+339</f>
        <v>3669</v>
      </c>
      <c r="M138" s="61">
        <f>1700+1630+339</f>
        <v>3669</v>
      </c>
      <c r="N138" s="61">
        <f>1700+1630+339</f>
        <v>3669</v>
      </c>
      <c r="O138" s="61">
        <f t="shared" si="59"/>
        <v>6058.8</v>
      </c>
    </row>
    <row r="139" spans="2:17" ht="15.75">
      <c r="B139" s="21"/>
      <c r="C139" s="21"/>
      <c r="D139" s="31" t="s">
        <v>10</v>
      </c>
      <c r="E139" s="61">
        <f>E11+E16+E29+E39+E79+E86+E94+E105+E124+E134+E137+E138</f>
        <v>15052.279999999999</v>
      </c>
      <c r="F139" s="61">
        <f>F11+F16+F29+F39+F79+F86+F94+F105+F124+F134</f>
        <v>0</v>
      </c>
      <c r="G139" s="61">
        <f>G11+G16+G29+G39+G79+G86+G94+G105+G124+G134</f>
        <v>0</v>
      </c>
      <c r="H139" s="61">
        <f>I139+L139</f>
        <v>23544.036359999998</v>
      </c>
      <c r="I139" s="61">
        <f>I11+I16+I29+I39+I79+I86+I94+I105+I124+I134</f>
        <v>-50</v>
      </c>
      <c r="J139" s="61">
        <f>J11+J16+J29+J39+J79+J86+J94+J105+J124+J134</f>
        <v>0</v>
      </c>
      <c r="K139" s="61">
        <f>K11+K16+K29+K39+K79+K86+K94+K105+K124+K134</f>
        <v>0</v>
      </c>
      <c r="L139" s="61">
        <f>L11+L16+L29+L39+L79+L86+L94+L105+L124+L134+L138+L137</f>
        <v>23594.036359999998</v>
      </c>
      <c r="M139" s="61">
        <f t="shared" ref="M139:N139" si="60">M11+M16+M29+M39+M79+M86+M94+M105+M124+M134+M138+M137</f>
        <v>12360.552379999999</v>
      </c>
      <c r="N139" s="61">
        <f t="shared" si="60"/>
        <v>12360.552379999999</v>
      </c>
      <c r="O139" s="61">
        <f>E139+H139</f>
        <v>38596.316359999997</v>
      </c>
      <c r="Q139" s="121"/>
    </row>
    <row r="140" spans="2:17" s="44" customFormat="1" ht="15.75">
      <c r="B140" s="45"/>
      <c r="C140" s="45"/>
      <c r="D140" s="46" t="s">
        <v>123</v>
      </c>
      <c r="E140" s="47"/>
      <c r="F140" s="47"/>
      <c r="G140" s="47"/>
      <c r="H140" s="47"/>
      <c r="I140" s="47"/>
      <c r="J140" s="47"/>
      <c r="K140" s="47"/>
      <c r="L140" s="47"/>
      <c r="M140" s="47" t="s">
        <v>124</v>
      </c>
      <c r="N140" s="47"/>
      <c r="O140" s="47"/>
    </row>
    <row r="141" spans="2:17">
      <c r="D141" s="54"/>
      <c r="K141" s="56"/>
    </row>
    <row r="142" spans="2:17">
      <c r="E142" s="119"/>
      <c r="F142" s="119"/>
      <c r="G142" s="119"/>
      <c r="H142" s="119"/>
      <c r="I142" s="119"/>
      <c r="J142" s="119"/>
      <c r="K142" s="119"/>
      <c r="L142" s="119"/>
      <c r="M142" s="119"/>
      <c r="N142" s="119"/>
      <c r="O142" s="119"/>
    </row>
    <row r="143" spans="2:17">
      <c r="E143" s="119"/>
      <c r="F143" s="119"/>
      <c r="G143" s="119"/>
      <c r="H143" s="119"/>
      <c r="I143" s="119"/>
      <c r="J143" s="119"/>
      <c r="K143" s="119"/>
      <c r="L143" s="119"/>
      <c r="M143" s="119"/>
      <c r="N143" s="119"/>
      <c r="O143" s="119"/>
    </row>
    <row r="144" spans="2:17">
      <c r="E144" s="119"/>
      <c r="F144" s="119"/>
      <c r="G144" s="119"/>
      <c r="H144" s="119"/>
      <c r="I144" s="119"/>
      <c r="J144" s="119"/>
      <c r="K144" s="119"/>
      <c r="L144" s="119"/>
      <c r="M144" s="119"/>
      <c r="N144" s="119"/>
      <c r="O144" s="119"/>
    </row>
    <row r="145" spans="4:15">
      <c r="E145" s="119"/>
      <c r="F145" s="119"/>
      <c r="G145" s="119"/>
      <c r="H145" s="119"/>
      <c r="I145" s="119"/>
      <c r="J145" s="119"/>
      <c r="K145" s="119"/>
      <c r="L145" s="119"/>
      <c r="M145" s="119"/>
      <c r="N145" s="119"/>
      <c r="O145" s="119"/>
    </row>
    <row r="146" spans="4:15">
      <c r="E146" s="119"/>
      <c r="F146" s="119"/>
      <c r="G146" s="119"/>
      <c r="H146" s="119"/>
      <c r="I146" s="119"/>
      <c r="J146" s="119"/>
      <c r="K146" s="119"/>
      <c r="L146" s="119"/>
      <c r="M146" s="119"/>
      <c r="N146" s="119"/>
      <c r="O146" s="119"/>
    </row>
    <row r="147" spans="4:15"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  <c r="O147" s="119"/>
    </row>
    <row r="148" spans="4:15"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  <c r="O148" s="119"/>
    </row>
    <row r="149" spans="4:15">
      <c r="E149" s="119"/>
      <c r="F149" s="119"/>
      <c r="G149" s="119"/>
      <c r="H149" s="119"/>
      <c r="I149" s="119"/>
      <c r="J149" s="119"/>
      <c r="K149" s="119"/>
      <c r="L149" s="119"/>
      <c r="M149" s="119"/>
      <c r="N149" s="119"/>
      <c r="O149" s="119"/>
    </row>
    <row r="150" spans="4:15">
      <c r="E150" s="119"/>
      <c r="F150" s="119"/>
      <c r="G150" s="119"/>
      <c r="H150" s="119"/>
      <c r="I150" s="119"/>
      <c r="J150" s="119"/>
      <c r="K150" s="119"/>
      <c r="L150" s="119"/>
      <c r="M150" s="119"/>
      <c r="N150" s="119"/>
      <c r="O150" s="119"/>
    </row>
    <row r="151" spans="4:15">
      <c r="E151" s="119"/>
      <c r="F151" s="119"/>
      <c r="G151" s="119"/>
      <c r="H151" s="119"/>
      <c r="I151" s="119"/>
      <c r="J151" s="119"/>
      <c r="K151" s="119"/>
      <c r="L151" s="119"/>
      <c r="M151" s="119"/>
      <c r="N151" s="119"/>
      <c r="O151" s="119"/>
    </row>
    <row r="152" spans="4:15">
      <c r="E152" s="119"/>
      <c r="F152" s="119"/>
      <c r="G152" s="119"/>
      <c r="H152" s="119"/>
      <c r="I152" s="119"/>
      <c r="J152" s="119"/>
      <c r="K152" s="119"/>
      <c r="L152" s="119"/>
      <c r="M152" s="119"/>
      <c r="N152" s="119"/>
      <c r="O152" s="119"/>
    </row>
    <row r="153" spans="4:15">
      <c r="E153" s="119"/>
      <c r="F153" s="119"/>
      <c r="G153" s="119"/>
      <c r="H153" s="119"/>
      <c r="I153" s="119"/>
      <c r="J153" s="119"/>
      <c r="K153" s="119"/>
      <c r="L153" s="119"/>
      <c r="M153" s="119"/>
      <c r="N153" s="119"/>
      <c r="O153" s="119"/>
    </row>
    <row r="154" spans="4:15"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</row>
    <row r="155" spans="4:15">
      <c r="E155" s="119"/>
      <c r="F155" s="119"/>
      <c r="G155" s="119"/>
      <c r="H155" s="119"/>
      <c r="I155" s="119"/>
      <c r="J155" s="119"/>
      <c r="K155" s="119"/>
      <c r="L155" s="119"/>
      <c r="M155" s="119"/>
      <c r="N155" s="119"/>
      <c r="O155" s="119"/>
    </row>
    <row r="157" spans="4:15">
      <c r="E157" s="119"/>
      <c r="F157" s="119"/>
      <c r="G157" s="119"/>
      <c r="H157" s="119"/>
      <c r="I157" s="119"/>
      <c r="J157" s="119"/>
      <c r="K157" s="119"/>
      <c r="L157" s="119"/>
      <c r="M157" s="119"/>
      <c r="N157" s="119"/>
      <c r="O157" s="119"/>
    </row>
    <row r="158" spans="4:15">
      <c r="D158" s="122"/>
      <c r="E158" s="123"/>
      <c r="F158" s="123"/>
      <c r="G158" s="123"/>
      <c r="H158" s="123"/>
      <c r="I158" s="123"/>
      <c r="J158" s="123"/>
      <c r="K158" s="123"/>
      <c r="L158" s="123"/>
      <c r="M158" s="123"/>
      <c r="N158" s="123"/>
      <c r="O158" s="123"/>
    </row>
    <row r="159" spans="4:15">
      <c r="E159" s="119"/>
      <c r="F159" s="119"/>
      <c r="G159" s="119"/>
      <c r="H159" s="119"/>
      <c r="I159" s="119"/>
      <c r="J159" s="119"/>
      <c r="K159" s="119"/>
      <c r="L159" s="119"/>
      <c r="M159" s="119"/>
      <c r="N159" s="119"/>
      <c r="O159" s="119"/>
    </row>
    <row r="160" spans="4:15">
      <c r="H160" s="119"/>
      <c r="O160" s="119"/>
    </row>
    <row r="161" spans="5:15">
      <c r="H161" s="119"/>
      <c r="O161" s="119"/>
    </row>
    <row r="162" spans="5:15">
      <c r="H162" s="119"/>
      <c r="O162" s="119"/>
    </row>
    <row r="163" spans="5:15">
      <c r="H163" s="119"/>
      <c r="O163" s="119"/>
    </row>
    <row r="164" spans="5:15">
      <c r="H164" s="119"/>
      <c r="O164" s="119"/>
    </row>
    <row r="165" spans="5:15">
      <c r="H165" s="119"/>
      <c r="O165" s="119"/>
    </row>
    <row r="166" spans="5:15">
      <c r="H166" s="119"/>
      <c r="O166" s="119"/>
    </row>
    <row r="167" spans="5:15">
      <c r="H167" s="119"/>
      <c r="O167" s="119"/>
    </row>
    <row r="168" spans="5:15">
      <c r="H168" s="119"/>
      <c r="O168" s="119"/>
    </row>
    <row r="169" spans="5:15">
      <c r="E169" s="119"/>
      <c r="H169" s="119"/>
      <c r="I169" s="119"/>
      <c r="L169" s="119"/>
      <c r="M169" s="119"/>
      <c r="N169" s="119"/>
      <c r="O169" s="119"/>
    </row>
  </sheetData>
  <dataConsolidate>
    <dataRefs count="10">
      <dataRef ref="F41:P41" sheet="Дод. № 3 " r:id="rId1"/>
      <dataRef ref="F62:P62" sheet="Дод. № 3 " r:id="rId2"/>
      <dataRef ref="F72:P72" sheet="Дод. № 3 " r:id="rId3"/>
      <dataRef ref="F120:P120" sheet="Дод. № 3 " r:id="rId4"/>
      <dataRef ref="F126:P126" sheet="Дод. № 3 " r:id="rId5"/>
      <dataRef ref="F134:P134" sheet="Дод. № 3 " r:id="rId6"/>
      <dataRef ref="F153:P153" sheet="Дод. № 3 " r:id="rId7"/>
      <dataRef ref="F159:P159" sheet="Дод. № 3 " r:id="rId8"/>
      <dataRef ref="F169:P169" sheet="Дод. № 3 " r:id="rId9"/>
      <dataRef ref="F173:P173" sheet="Дод. № 3 " r:id="rId10"/>
    </dataRefs>
  </dataConsolidate>
  <mergeCells count="20">
    <mergeCell ref="H6:N6"/>
    <mergeCell ref="D6:D9"/>
    <mergeCell ref="M8:M9"/>
    <mergeCell ref="F7:G7"/>
    <mergeCell ref="L2:N2"/>
    <mergeCell ref="J8:J9"/>
    <mergeCell ref="B4:O4"/>
    <mergeCell ref="H7:H9"/>
    <mergeCell ref="E7:E9"/>
    <mergeCell ref="L7:L9"/>
    <mergeCell ref="O6:O9"/>
    <mergeCell ref="M7:N7"/>
    <mergeCell ref="E6:G6"/>
    <mergeCell ref="K8:K9"/>
    <mergeCell ref="B6:B9"/>
    <mergeCell ref="F8:F9"/>
    <mergeCell ref="C6:C9"/>
    <mergeCell ref="I7:I9"/>
    <mergeCell ref="J7:K7"/>
    <mergeCell ref="G8:G9"/>
  </mergeCells>
  <phoneticPr fontId="0" type="noConversion"/>
  <printOptions horizontalCentered="1"/>
  <pageMargins left="0.15748031496062992" right="0.15748031496062992" top="0.31496062992125984" bottom="0.15" header="0.31496062992125984" footer="0.15"/>
  <pageSetup paperSize="9" scale="59" fitToHeight="7" orientation="landscape" horizontalDpi="4294967293" r:id="rId11"/>
  <rowBreaks count="4" manualBreakCount="4">
    <brk id="45" min="1" max="14" man="1"/>
    <brk id="67" min="1" max="14" man="1"/>
    <brk id="85" min="1" max="14" man="1"/>
    <brk id="117" min="1" max="14" man="1"/>
  </rowBreaks>
  <legacyDrawing r:id="rId12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77"/>
  <sheetViews>
    <sheetView workbookViewId="0">
      <pane xSplit="4" ySplit="11" topLeftCell="G144" activePane="bottomRight" state="frozen"/>
      <selection pane="topRight" activeCell="E1" sqref="E1"/>
      <selection pane="bottomLeft" activeCell="A12" sqref="A12"/>
      <selection pane="bottomRight" activeCell="E12" sqref="E12"/>
    </sheetView>
  </sheetViews>
  <sheetFormatPr defaultRowHeight="15"/>
  <cols>
    <col min="1" max="1" width="0.42578125" style="1" customWidth="1"/>
    <col min="2" max="3" width="9.140625" style="3"/>
    <col min="4" max="4" width="48" style="4" customWidth="1"/>
    <col min="5" max="5" width="15.7109375" style="1" customWidth="1"/>
    <col min="6" max="6" width="15.42578125" style="1" customWidth="1"/>
    <col min="7" max="8" width="15.7109375" style="1" customWidth="1"/>
    <col min="9" max="9" width="15.140625" style="1" customWidth="1"/>
    <col min="10" max="10" width="14.85546875" style="1" customWidth="1"/>
    <col min="11" max="11" width="14.140625" style="1" customWidth="1"/>
    <col min="12" max="12" width="18.85546875" style="1" customWidth="1"/>
    <col min="13" max="13" width="17" style="1" customWidth="1"/>
    <col min="14" max="14" width="18.140625" style="1" customWidth="1"/>
    <col min="15" max="15" width="15.140625" style="1" customWidth="1"/>
    <col min="16" max="16" width="5.5703125" style="1" customWidth="1"/>
    <col min="17" max="17" width="13.7109375" style="1" bestFit="1" customWidth="1"/>
    <col min="18" max="16384" width="9.140625" style="1"/>
  </cols>
  <sheetData>
    <row r="1" spans="1:15">
      <c r="B1" s="128" t="s">
        <v>309</v>
      </c>
      <c r="L1" s="5" t="s">
        <v>293</v>
      </c>
      <c r="M1" s="5"/>
    </row>
    <row r="2" spans="1:15">
      <c r="B2" s="128" t="s">
        <v>310</v>
      </c>
      <c r="L2" s="141" t="s">
        <v>294</v>
      </c>
      <c r="M2" s="141"/>
      <c r="N2" s="141"/>
    </row>
    <row r="3" spans="1:15">
      <c r="L3" s="126" t="s">
        <v>295</v>
      </c>
      <c r="M3" s="6"/>
      <c r="N3" s="7"/>
    </row>
    <row r="4" spans="1:15" ht="20.25">
      <c r="B4" s="142" t="s">
        <v>296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</row>
    <row r="5" spans="1:15" ht="20.25">
      <c r="B5" s="142" t="s">
        <v>297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>
      <c r="O6" s="9" t="s">
        <v>0</v>
      </c>
    </row>
    <row r="7" spans="1:15">
      <c r="B7" s="144" t="s">
        <v>22</v>
      </c>
      <c r="C7" s="144" t="s">
        <v>23</v>
      </c>
      <c r="D7" s="144" t="s">
        <v>238</v>
      </c>
      <c r="E7" s="144" t="s">
        <v>1</v>
      </c>
      <c r="F7" s="144"/>
      <c r="G7" s="144"/>
      <c r="H7" s="144" t="s">
        <v>5</v>
      </c>
      <c r="I7" s="144"/>
      <c r="J7" s="144"/>
      <c r="K7" s="144"/>
      <c r="L7" s="144"/>
      <c r="M7" s="144"/>
      <c r="N7" s="144"/>
      <c r="O7" s="145" t="s">
        <v>10</v>
      </c>
    </row>
    <row r="8" spans="1:15">
      <c r="B8" s="144"/>
      <c r="C8" s="144"/>
      <c r="D8" s="144"/>
      <c r="E8" s="144" t="s">
        <v>2</v>
      </c>
      <c r="F8" s="144" t="s">
        <v>3</v>
      </c>
      <c r="G8" s="144"/>
      <c r="H8" s="144" t="s">
        <v>2</v>
      </c>
      <c r="I8" s="144" t="s">
        <v>6</v>
      </c>
      <c r="J8" s="144" t="s">
        <v>3</v>
      </c>
      <c r="K8" s="144"/>
      <c r="L8" s="144" t="s">
        <v>7</v>
      </c>
      <c r="M8" s="144" t="s">
        <v>3</v>
      </c>
      <c r="N8" s="144"/>
      <c r="O8" s="145"/>
    </row>
    <row r="9" spans="1:15">
      <c r="B9" s="144"/>
      <c r="C9" s="144"/>
      <c r="D9" s="144"/>
      <c r="E9" s="144"/>
      <c r="F9" s="144" t="s">
        <v>16</v>
      </c>
      <c r="G9" s="144" t="s">
        <v>4</v>
      </c>
      <c r="H9" s="144"/>
      <c r="I9" s="144"/>
      <c r="J9" s="144" t="s">
        <v>16</v>
      </c>
      <c r="K9" s="144" t="s">
        <v>4</v>
      </c>
      <c r="L9" s="144"/>
      <c r="M9" s="144" t="s">
        <v>8</v>
      </c>
      <c r="N9" s="125" t="s">
        <v>3</v>
      </c>
      <c r="O9" s="145"/>
    </row>
    <row r="10" spans="1:15" ht="52.5"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0" t="s">
        <v>9</v>
      </c>
      <c r="O10" s="145"/>
    </row>
    <row r="11" spans="1:15">
      <c r="B11" s="11">
        <v>1</v>
      </c>
      <c r="C11" s="11">
        <v>2</v>
      </c>
      <c r="D11" s="127">
        <v>3</v>
      </c>
      <c r="E11" s="127">
        <v>4</v>
      </c>
      <c r="F11" s="127">
        <v>5</v>
      </c>
      <c r="G11" s="127">
        <v>6</v>
      </c>
      <c r="H11" s="127">
        <v>7</v>
      </c>
      <c r="I11" s="127">
        <v>8</v>
      </c>
      <c r="J11" s="127">
        <v>9</v>
      </c>
      <c r="K11" s="127">
        <v>10</v>
      </c>
      <c r="L11" s="127">
        <v>11</v>
      </c>
      <c r="M11" s="127">
        <v>12</v>
      </c>
      <c r="N11" s="127">
        <v>13</v>
      </c>
      <c r="O11" s="127" t="s">
        <v>24</v>
      </c>
    </row>
    <row r="12" spans="1:15">
      <c r="B12" s="30" t="s">
        <v>25</v>
      </c>
      <c r="C12" s="21"/>
      <c r="D12" s="31" t="s">
        <v>11</v>
      </c>
      <c r="E12" s="12">
        <f>E13+E14+E15+E16</f>
        <v>60185.740000000005</v>
      </c>
      <c r="F12" s="12">
        <f t="shared" ref="F12:G12" si="0">F13+F14+F15+F16</f>
        <v>45269.1</v>
      </c>
      <c r="G12" s="12">
        <f t="shared" si="0"/>
        <v>2463.3999999999996</v>
      </c>
      <c r="H12" s="19">
        <f>I12+L12</f>
        <v>2855.2000000000007</v>
      </c>
      <c r="I12" s="19">
        <f>I13+I14+I15+I16</f>
        <v>165</v>
      </c>
      <c r="J12" s="19"/>
      <c r="K12" s="19"/>
      <c r="L12" s="19">
        <f>L13+L14+L16</f>
        <v>2690.2000000000007</v>
      </c>
      <c r="M12" s="19">
        <f t="shared" ref="M12:N12" si="1">M13+M14+M16</f>
        <v>2690.2000000000007</v>
      </c>
      <c r="N12" s="19">
        <f t="shared" si="1"/>
        <v>2690.2000000000007</v>
      </c>
      <c r="O12" s="12">
        <f>E12+H12</f>
        <v>63040.94</v>
      </c>
    </row>
    <row r="13" spans="1:15" ht="75">
      <c r="B13" s="21" t="s">
        <v>139</v>
      </c>
      <c r="C13" s="21" t="s">
        <v>27</v>
      </c>
      <c r="D13" s="70" t="s">
        <v>138</v>
      </c>
      <c r="E13" s="2">
        <f>25114.2+1532.4+1061.4+1322.4-25</f>
        <v>29005.400000000005</v>
      </c>
      <c r="F13" s="2">
        <f>20424+1165+960+1078</f>
        <v>23627</v>
      </c>
      <c r="G13" s="2">
        <f>2029.7+85.9+32+52.2</f>
        <v>2199.7999999999997</v>
      </c>
      <c r="H13" s="13">
        <f>I13+L13</f>
        <v>2382</v>
      </c>
      <c r="I13" s="13">
        <f>145+10+10</f>
        <v>165</v>
      </c>
      <c r="J13" s="13"/>
      <c r="K13" s="13"/>
      <c r="L13" s="13">
        <f>1180+20+500+500+17</f>
        <v>2217</v>
      </c>
      <c r="M13" s="13">
        <f>1180+20+500+500+17</f>
        <v>2217</v>
      </c>
      <c r="N13" s="13">
        <f>1180+20+500+500+17</f>
        <v>2217</v>
      </c>
      <c r="O13" s="2">
        <f>E13+H13</f>
        <v>31387.400000000005</v>
      </c>
    </row>
    <row r="14" spans="1:15" ht="45">
      <c r="B14" s="21" t="s">
        <v>141</v>
      </c>
      <c r="C14" s="21" t="s">
        <v>27</v>
      </c>
      <c r="D14" s="71" t="s">
        <v>271</v>
      </c>
      <c r="E14" s="2">
        <f>1762.6+1060.3+8717.1+1001.9+468+1513.9+1898.7+1592.8+1824.7+2840.9+55+374.44</f>
        <v>23110.34</v>
      </c>
      <c r="F14" s="2">
        <f>1723+1026+8108+980+460+1382+1863+1547+1787+2711.1+55</f>
        <v>21642.1</v>
      </c>
      <c r="G14" s="2">
        <f>21.7+241.9</f>
        <v>263.60000000000002</v>
      </c>
      <c r="H14" s="13">
        <f>I14+L14</f>
        <v>108</v>
      </c>
      <c r="I14" s="13"/>
      <c r="J14" s="13"/>
      <c r="K14" s="13"/>
      <c r="L14" s="13">
        <f>10+36+20+10+12+20</f>
        <v>108</v>
      </c>
      <c r="M14" s="13">
        <v>108</v>
      </c>
      <c r="N14" s="13">
        <v>108</v>
      </c>
      <c r="O14" s="2">
        <f>E14+H14</f>
        <v>23218.34</v>
      </c>
    </row>
    <row r="15" spans="1:15" ht="30">
      <c r="B15" s="21" t="s">
        <v>188</v>
      </c>
      <c r="C15" s="21" t="s">
        <v>189</v>
      </c>
      <c r="D15" s="71" t="s">
        <v>190</v>
      </c>
      <c r="E15" s="2">
        <v>25</v>
      </c>
      <c r="F15" s="2"/>
      <c r="G15" s="2"/>
      <c r="H15" s="13"/>
      <c r="I15" s="13"/>
      <c r="J15" s="13"/>
      <c r="K15" s="13"/>
      <c r="L15" s="13"/>
      <c r="M15" s="13"/>
      <c r="N15" s="13"/>
      <c r="O15" s="2">
        <f t="shared" ref="O15:O102" si="2">E15+H15</f>
        <v>25</v>
      </c>
    </row>
    <row r="16" spans="1:15" ht="15.75">
      <c r="A16" s="1" t="s">
        <v>210</v>
      </c>
      <c r="B16" s="21" t="s">
        <v>26</v>
      </c>
      <c r="C16" s="21" t="s">
        <v>82</v>
      </c>
      <c r="D16" s="66" t="s">
        <v>200</v>
      </c>
      <c r="E16" s="2">
        <f>100.5+1550.5+100+6000+294</f>
        <v>8045</v>
      </c>
      <c r="F16" s="2"/>
      <c r="G16" s="2"/>
      <c r="H16" s="13">
        <f t="shared" ref="H16" si="3">I16+L16</f>
        <v>365.20000000000073</v>
      </c>
      <c r="I16" s="13"/>
      <c r="J16" s="13"/>
      <c r="K16" s="13"/>
      <c r="L16" s="13">
        <f>13873+5000-2297-1500-14710.8</f>
        <v>365.20000000000073</v>
      </c>
      <c r="M16" s="13">
        <f>13873+5000-2297-1500-14710.8</f>
        <v>365.20000000000073</v>
      </c>
      <c r="N16" s="13">
        <f>13873+5000-2297-1500-14710.8</f>
        <v>365.20000000000073</v>
      </c>
      <c r="O16" s="2">
        <f t="shared" si="2"/>
        <v>8410.2000000000007</v>
      </c>
    </row>
    <row r="17" spans="1:15">
      <c r="A17" s="32"/>
      <c r="B17" s="30" t="s">
        <v>28</v>
      </c>
      <c r="C17" s="21"/>
      <c r="D17" s="31" t="s">
        <v>12</v>
      </c>
      <c r="E17" s="12">
        <f>E18+E19+E23+E25+E29+E30+E31+E32+E33</f>
        <v>222152.72</v>
      </c>
      <c r="F17" s="12">
        <f t="shared" ref="F17:N17" si="4">F18+F19+F23+F25+F29+F30+F31+F32+F33</f>
        <v>180691.80000000002</v>
      </c>
      <c r="G17" s="12">
        <f t="shared" si="4"/>
        <v>22499.700000000004</v>
      </c>
      <c r="H17" s="12">
        <f t="shared" si="4"/>
        <v>20737.36752</v>
      </c>
      <c r="I17" s="12">
        <f t="shared" si="4"/>
        <v>9965.3009999999995</v>
      </c>
      <c r="J17" s="12">
        <f t="shared" si="4"/>
        <v>194.8</v>
      </c>
      <c r="K17" s="12">
        <f t="shared" si="4"/>
        <v>0</v>
      </c>
      <c r="L17" s="12">
        <f t="shared" si="4"/>
        <v>10772.06652</v>
      </c>
      <c r="M17" s="12">
        <f t="shared" si="4"/>
        <v>10702.06652</v>
      </c>
      <c r="N17" s="12">
        <f t="shared" si="4"/>
        <v>10702.06652</v>
      </c>
      <c r="O17" s="12">
        <f>E17+H17</f>
        <v>242890.08752</v>
      </c>
    </row>
    <row r="18" spans="1:15" s="52" customFormat="1">
      <c r="B18" s="21" t="s">
        <v>30</v>
      </c>
      <c r="C18" s="21" t="s">
        <v>29</v>
      </c>
      <c r="D18" s="48" t="s">
        <v>162</v>
      </c>
      <c r="E18" s="2">
        <f>75595.6+238.72</f>
        <v>75834.320000000007</v>
      </c>
      <c r="F18" s="2">
        <f>44857.2+9868.6</f>
        <v>54725.799999999996</v>
      </c>
      <c r="G18" s="2">
        <v>10509.3</v>
      </c>
      <c r="H18" s="13">
        <f>I18+L18</f>
        <v>12984.9</v>
      </c>
      <c r="I18" s="13">
        <v>8924.9</v>
      </c>
      <c r="J18" s="13"/>
      <c r="K18" s="13"/>
      <c r="L18" s="13">
        <f>2400+700+960</f>
        <v>4060</v>
      </c>
      <c r="M18" s="13">
        <f>2400+700+960</f>
        <v>4060</v>
      </c>
      <c r="N18" s="13">
        <f>2400+700+960</f>
        <v>4060</v>
      </c>
      <c r="O18" s="2">
        <f>E18+H18</f>
        <v>88819.22</v>
      </c>
    </row>
    <row r="19" spans="1:15" ht="75">
      <c r="B19" s="21" t="s">
        <v>31</v>
      </c>
      <c r="C19" s="21" t="s">
        <v>32</v>
      </c>
      <c r="D19" s="71" t="s">
        <v>33</v>
      </c>
      <c r="E19" s="13">
        <f>106993.6+360</f>
        <v>107353.60000000001</v>
      </c>
      <c r="F19" s="2">
        <f>75279.3+16561.4</f>
        <v>91840.700000000012</v>
      </c>
      <c r="G19" s="2">
        <v>10334.1</v>
      </c>
      <c r="H19" s="13">
        <f>I19+L19</f>
        <v>5225.6000000000004</v>
      </c>
      <c r="I19" s="13">
        <v>295.60000000000002</v>
      </c>
      <c r="J19" s="13"/>
      <c r="K19" s="13"/>
      <c r="L19" s="13">
        <f>1630+2000+1300</f>
        <v>4930</v>
      </c>
      <c r="M19" s="13">
        <f>1630+2000+1300</f>
        <v>4930</v>
      </c>
      <c r="N19" s="13">
        <f>1630+2000+1300</f>
        <v>4930</v>
      </c>
      <c r="O19" s="2">
        <f>E19+H19</f>
        <v>112579.20000000001</v>
      </c>
    </row>
    <row r="20" spans="1:15">
      <c r="B20" s="21"/>
      <c r="C20" s="21"/>
      <c r="D20" s="71" t="s">
        <v>311</v>
      </c>
      <c r="E20" s="13"/>
      <c r="F20" s="2"/>
      <c r="G20" s="2"/>
      <c r="H20" s="13"/>
      <c r="I20" s="13"/>
      <c r="J20" s="13"/>
      <c r="K20" s="13"/>
      <c r="L20" s="13"/>
      <c r="M20" s="13"/>
      <c r="N20" s="13"/>
      <c r="O20" s="2"/>
    </row>
    <row r="21" spans="1:15" ht="45">
      <c r="B21" s="21"/>
      <c r="C21" s="21"/>
      <c r="D21" s="72" t="s">
        <v>312</v>
      </c>
      <c r="E21" s="14">
        <f>59854.6+13168</f>
        <v>73022.600000000006</v>
      </c>
      <c r="F21" s="14">
        <f>59854.6+13168</f>
        <v>73022.600000000006</v>
      </c>
      <c r="G21" s="14"/>
      <c r="H21" s="20"/>
      <c r="I21" s="20"/>
      <c r="J21" s="20"/>
      <c r="K21" s="20"/>
      <c r="L21" s="20"/>
      <c r="M21" s="20"/>
      <c r="N21" s="20"/>
      <c r="O21" s="14">
        <f t="shared" si="2"/>
        <v>73022.600000000006</v>
      </c>
    </row>
    <row r="22" spans="1:15" s="55" customFormat="1" ht="75">
      <c r="B22" s="21"/>
      <c r="C22" s="21"/>
      <c r="D22" s="72" t="s">
        <v>313</v>
      </c>
      <c r="E22" s="103">
        <v>300</v>
      </c>
      <c r="F22" s="103"/>
      <c r="G22" s="103"/>
      <c r="H22" s="103">
        <f>I22+L22</f>
        <v>700</v>
      </c>
      <c r="I22" s="103"/>
      <c r="J22" s="103"/>
      <c r="K22" s="103"/>
      <c r="L22" s="103">
        <v>700</v>
      </c>
      <c r="M22" s="103">
        <v>700</v>
      </c>
      <c r="N22" s="103">
        <v>700</v>
      </c>
      <c r="O22" s="103">
        <f t="shared" si="2"/>
        <v>1000</v>
      </c>
    </row>
    <row r="23" spans="1:15" ht="30">
      <c r="B23" s="21" t="s">
        <v>34</v>
      </c>
      <c r="C23" s="21" t="s">
        <v>32</v>
      </c>
      <c r="D23" s="71" t="s">
        <v>35</v>
      </c>
      <c r="E23" s="2">
        <v>761.8</v>
      </c>
      <c r="F23" s="2">
        <f>490.8+202.9</f>
        <v>693.7</v>
      </c>
      <c r="G23" s="2">
        <v>64</v>
      </c>
      <c r="H23" s="13"/>
      <c r="I23" s="13"/>
      <c r="J23" s="13"/>
      <c r="K23" s="13"/>
      <c r="L23" s="13"/>
      <c r="M23" s="13"/>
      <c r="N23" s="13"/>
      <c r="O23" s="2">
        <f t="shared" si="2"/>
        <v>761.8</v>
      </c>
    </row>
    <row r="24" spans="1:15" ht="60">
      <c r="B24" s="21"/>
      <c r="C24" s="21"/>
      <c r="D24" s="72" t="s">
        <v>20</v>
      </c>
      <c r="E24" s="14">
        <f>445.5+98.1</f>
        <v>543.6</v>
      </c>
      <c r="F24" s="14">
        <v>543.6</v>
      </c>
      <c r="G24" s="14"/>
      <c r="H24" s="20"/>
      <c r="I24" s="20"/>
      <c r="J24" s="20"/>
      <c r="K24" s="20"/>
      <c r="L24" s="20"/>
      <c r="M24" s="20"/>
      <c r="N24" s="20"/>
      <c r="O24" s="14">
        <f t="shared" si="2"/>
        <v>543.6</v>
      </c>
    </row>
    <row r="25" spans="1:15" ht="75">
      <c r="B25" s="21" t="s">
        <v>74</v>
      </c>
      <c r="C25" s="21" t="s">
        <v>37</v>
      </c>
      <c r="D25" s="71" t="s">
        <v>122</v>
      </c>
      <c r="E25" s="2">
        <f>8280.4+80</f>
        <v>8360.4</v>
      </c>
      <c r="F25" s="2">
        <f>5752.3+1265.5</f>
        <v>7017.8</v>
      </c>
      <c r="G25" s="2">
        <v>624.20000000000005</v>
      </c>
      <c r="H25" s="13">
        <f>I25+L25</f>
        <v>622.06652000000008</v>
      </c>
      <c r="I25" s="13"/>
      <c r="J25" s="13"/>
      <c r="K25" s="13"/>
      <c r="L25" s="13">
        <f>300+322.06652</f>
        <v>622.06652000000008</v>
      </c>
      <c r="M25" s="13">
        <f>300+322.06652</f>
        <v>622.06652000000008</v>
      </c>
      <c r="N25" s="13">
        <f>300+322.06652</f>
        <v>622.06652000000008</v>
      </c>
      <c r="O25" s="2">
        <f t="shared" si="2"/>
        <v>8982.4665199999999</v>
      </c>
    </row>
    <row r="26" spans="1:15">
      <c r="B26" s="21"/>
      <c r="C26" s="21"/>
      <c r="D26" s="71" t="s">
        <v>311</v>
      </c>
      <c r="E26" s="2"/>
      <c r="F26" s="2"/>
      <c r="G26" s="2"/>
      <c r="H26" s="13"/>
      <c r="I26" s="13"/>
      <c r="J26" s="13"/>
      <c r="K26" s="13"/>
      <c r="L26" s="13"/>
      <c r="M26" s="13"/>
      <c r="N26" s="13"/>
      <c r="O26" s="2"/>
    </row>
    <row r="27" spans="1:15" ht="45">
      <c r="B27" s="21"/>
      <c r="C27" s="21"/>
      <c r="D27" s="72" t="s">
        <v>312</v>
      </c>
      <c r="E27" s="14">
        <f>4920.1+1082.4</f>
        <v>6002.5</v>
      </c>
      <c r="F27" s="14">
        <v>6002.5</v>
      </c>
      <c r="G27" s="2"/>
      <c r="H27" s="13"/>
      <c r="I27" s="13"/>
      <c r="J27" s="13"/>
      <c r="K27" s="13"/>
      <c r="L27" s="13"/>
      <c r="M27" s="13"/>
      <c r="N27" s="13"/>
      <c r="O27" s="14">
        <f t="shared" si="2"/>
        <v>6002.5</v>
      </c>
    </row>
    <row r="28" spans="1:15" s="55" customFormat="1" ht="75">
      <c r="B28" s="21"/>
      <c r="C28" s="21"/>
      <c r="D28" s="72" t="s">
        <v>314</v>
      </c>
      <c r="E28" s="103"/>
      <c r="F28" s="103"/>
      <c r="G28" s="80"/>
      <c r="H28" s="80">
        <f>I28+L28</f>
        <v>282.06652000000003</v>
      </c>
      <c r="I28" s="80"/>
      <c r="J28" s="80"/>
      <c r="K28" s="80"/>
      <c r="L28" s="103">
        <v>282.06652000000003</v>
      </c>
      <c r="M28" s="80">
        <v>282.06652000000003</v>
      </c>
      <c r="N28" s="80">
        <v>282.06652000000003</v>
      </c>
      <c r="O28" s="103">
        <f t="shared" si="2"/>
        <v>282.06652000000003</v>
      </c>
    </row>
    <row r="29" spans="1:15" ht="45">
      <c r="B29" s="21" t="s">
        <v>38</v>
      </c>
      <c r="C29" s="21" t="s">
        <v>39</v>
      </c>
      <c r="D29" s="71" t="s">
        <v>40</v>
      </c>
      <c r="E29" s="2">
        <f>11228+140</f>
        <v>11368</v>
      </c>
      <c r="F29" s="2">
        <f>7712.8+1696.8</f>
        <v>9409.6</v>
      </c>
      <c r="G29" s="2">
        <v>377.7</v>
      </c>
      <c r="H29" s="13">
        <f>I29+L29</f>
        <v>1155.8</v>
      </c>
      <c r="I29" s="13">
        <v>165.8</v>
      </c>
      <c r="J29" s="13"/>
      <c r="K29" s="13"/>
      <c r="L29" s="13">
        <f>20+970</f>
        <v>990</v>
      </c>
      <c r="M29" s="13">
        <v>970</v>
      </c>
      <c r="N29" s="13">
        <v>970</v>
      </c>
      <c r="O29" s="2">
        <f t="shared" si="2"/>
        <v>12523.8</v>
      </c>
    </row>
    <row r="30" spans="1:15" ht="60">
      <c r="B30" s="21" t="s">
        <v>145</v>
      </c>
      <c r="C30" s="21" t="s">
        <v>39</v>
      </c>
      <c r="D30" s="71" t="s">
        <v>146</v>
      </c>
      <c r="E30" s="2">
        <v>11629</v>
      </c>
      <c r="F30" s="2">
        <f>9288.6+2043.5</f>
        <v>11332.1</v>
      </c>
      <c r="G30" s="2">
        <v>282.5</v>
      </c>
      <c r="H30" s="13">
        <f>I30+L30</f>
        <v>749</v>
      </c>
      <c r="I30" s="13">
        <f>629-50</f>
        <v>579</v>
      </c>
      <c r="J30" s="13">
        <v>194.8</v>
      </c>
      <c r="K30" s="13"/>
      <c r="L30" s="13">
        <f>170</f>
        <v>170</v>
      </c>
      <c r="M30" s="13">
        <f>120</f>
        <v>120</v>
      </c>
      <c r="N30" s="13">
        <f>120</f>
        <v>120</v>
      </c>
      <c r="O30" s="2">
        <f t="shared" si="2"/>
        <v>12378</v>
      </c>
    </row>
    <row r="31" spans="1:15" ht="30">
      <c r="B31" s="21" t="s">
        <v>142</v>
      </c>
      <c r="C31" s="21" t="s">
        <v>42</v>
      </c>
      <c r="D31" s="48" t="s">
        <v>272</v>
      </c>
      <c r="E31" s="2">
        <v>180.5</v>
      </c>
      <c r="F31" s="2"/>
      <c r="G31" s="2"/>
      <c r="H31" s="13"/>
      <c r="I31" s="13"/>
      <c r="J31" s="13"/>
      <c r="K31" s="13"/>
      <c r="L31" s="13"/>
      <c r="M31" s="13"/>
      <c r="N31" s="13"/>
      <c r="O31" s="2">
        <f t="shared" si="2"/>
        <v>180.5</v>
      </c>
    </row>
    <row r="32" spans="1:15" ht="30">
      <c r="B32" s="21" t="s">
        <v>41</v>
      </c>
      <c r="C32" s="21" t="s">
        <v>43</v>
      </c>
      <c r="D32" s="73" t="s">
        <v>273</v>
      </c>
      <c r="E32" s="2">
        <f>1827.8-315.1</f>
        <v>1512.6999999999998</v>
      </c>
      <c r="F32" s="2">
        <f>1358.3+298.8-315.1</f>
        <v>1342</v>
      </c>
      <c r="G32" s="2">
        <v>26.2</v>
      </c>
      <c r="H32" s="13"/>
      <c r="I32" s="13"/>
      <c r="J32" s="13"/>
      <c r="K32" s="13"/>
      <c r="L32" s="13"/>
      <c r="M32" s="13"/>
      <c r="N32" s="13"/>
      <c r="O32" s="2">
        <f t="shared" si="2"/>
        <v>1512.6999999999998</v>
      </c>
    </row>
    <row r="33" spans="2:17">
      <c r="B33" s="21" t="s">
        <v>143</v>
      </c>
      <c r="C33" s="21"/>
      <c r="D33" s="71" t="s">
        <v>144</v>
      </c>
      <c r="E33" s="2">
        <f>E34+E35</f>
        <v>5152.3999999999996</v>
      </c>
      <c r="F33" s="2">
        <f t="shared" ref="F33:N33" si="5">F34+F35</f>
        <v>4330.1000000000004</v>
      </c>
      <c r="G33" s="2">
        <f t="shared" si="5"/>
        <v>281.7</v>
      </c>
      <c r="H33" s="2">
        <f t="shared" si="5"/>
        <v>1E-3</v>
      </c>
      <c r="I33" s="2">
        <f t="shared" si="5"/>
        <v>1E-3</v>
      </c>
      <c r="J33" s="2">
        <f t="shared" si="5"/>
        <v>0</v>
      </c>
      <c r="K33" s="2">
        <f t="shared" si="5"/>
        <v>0</v>
      </c>
      <c r="L33" s="2">
        <f t="shared" si="5"/>
        <v>0</v>
      </c>
      <c r="M33" s="2">
        <f t="shared" si="5"/>
        <v>0</v>
      </c>
      <c r="N33" s="2">
        <f t="shared" si="5"/>
        <v>0</v>
      </c>
      <c r="O33" s="2">
        <f t="shared" si="2"/>
        <v>5152.4009999999998</v>
      </c>
    </row>
    <row r="34" spans="2:17" s="26" customFormat="1" ht="33" customHeight="1">
      <c r="B34" s="18" t="s">
        <v>246</v>
      </c>
      <c r="C34" s="18" t="s">
        <v>43</v>
      </c>
      <c r="D34" s="92" t="s">
        <v>247</v>
      </c>
      <c r="E34" s="14">
        <f>5091.5+20</f>
        <v>5111.5</v>
      </c>
      <c r="F34" s="14">
        <v>4330.1000000000004</v>
      </c>
      <c r="G34" s="14">
        <v>281.7</v>
      </c>
      <c r="H34" s="13">
        <f t="shared" ref="H34:H36" si="6">I34+L34</f>
        <v>1E-3</v>
      </c>
      <c r="I34" s="20">
        <v>1E-3</v>
      </c>
      <c r="J34" s="20"/>
      <c r="K34" s="20"/>
      <c r="L34" s="20"/>
      <c r="M34" s="20"/>
      <c r="N34" s="20"/>
      <c r="O34" s="14">
        <f t="shared" si="2"/>
        <v>5111.5010000000002</v>
      </c>
    </row>
    <row r="35" spans="2:17" s="26" customFormat="1" ht="28.5" customHeight="1">
      <c r="B35" s="18" t="s">
        <v>279</v>
      </c>
      <c r="C35" s="18" t="s">
        <v>43</v>
      </c>
      <c r="D35" s="92" t="s">
        <v>280</v>
      </c>
      <c r="E35" s="14">
        <v>40.9</v>
      </c>
      <c r="F35" s="14"/>
      <c r="G35" s="14"/>
      <c r="H35" s="20">
        <f t="shared" si="6"/>
        <v>0</v>
      </c>
      <c r="I35" s="20"/>
      <c r="J35" s="20"/>
      <c r="K35" s="20"/>
      <c r="L35" s="20"/>
      <c r="M35" s="20"/>
      <c r="N35" s="20"/>
      <c r="O35" s="14">
        <f t="shared" si="2"/>
        <v>40.9</v>
      </c>
    </row>
    <row r="36" spans="2:17" s="33" customFormat="1">
      <c r="B36" s="30" t="s">
        <v>44</v>
      </c>
      <c r="C36" s="30"/>
      <c r="D36" s="74" t="s">
        <v>21</v>
      </c>
      <c r="E36" s="12">
        <f>E37+E43+E44</f>
        <v>97508.2</v>
      </c>
      <c r="F36" s="12"/>
      <c r="G36" s="12"/>
      <c r="H36" s="19">
        <f t="shared" si="6"/>
        <v>17126.58786</v>
      </c>
      <c r="I36" s="19">
        <f t="shared" ref="I36:N36" si="7">I37+I43</f>
        <v>8104.6</v>
      </c>
      <c r="J36" s="19">
        <f t="shared" si="7"/>
        <v>0</v>
      </c>
      <c r="K36" s="19">
        <f t="shared" si="7"/>
        <v>0</v>
      </c>
      <c r="L36" s="19">
        <f t="shared" si="7"/>
        <v>9021.9878599999993</v>
      </c>
      <c r="M36" s="19">
        <f t="shared" si="7"/>
        <v>9001.9878599999993</v>
      </c>
      <c r="N36" s="19">
        <f t="shared" si="7"/>
        <v>9001.9878599999993</v>
      </c>
      <c r="O36" s="35">
        <f t="shared" si="2"/>
        <v>114634.78786</v>
      </c>
    </row>
    <row r="37" spans="2:17" ht="34.5" customHeight="1">
      <c r="B37" s="21" t="s">
        <v>45</v>
      </c>
      <c r="C37" s="21" t="s">
        <v>46</v>
      </c>
      <c r="D37" s="15" t="s">
        <v>47</v>
      </c>
      <c r="E37" s="29">
        <f>80731.6+3812.4</f>
        <v>84544</v>
      </c>
      <c r="F37" s="29"/>
      <c r="G37" s="29"/>
      <c r="H37" s="28">
        <f>I37+L37</f>
        <v>12847.58786</v>
      </c>
      <c r="I37" s="28">
        <v>4345.6000000000004</v>
      </c>
      <c r="J37" s="28"/>
      <c r="K37" s="28"/>
      <c r="L37" s="28">
        <f>20+5000+1500+500+1481.98786</f>
        <v>8501.9878599999993</v>
      </c>
      <c r="M37" s="28">
        <f>5000+1500+500+1481.98786</f>
        <v>8481.9878599999993</v>
      </c>
      <c r="N37" s="28">
        <f>5000+1500+500+1481.98786</f>
        <v>8481.9878599999993</v>
      </c>
      <c r="O37" s="29">
        <f t="shared" si="2"/>
        <v>97391.58786</v>
      </c>
    </row>
    <row r="38" spans="2:17" s="55" customFormat="1" ht="76.5" customHeight="1">
      <c r="B38" s="21"/>
      <c r="C38" s="21"/>
      <c r="D38" s="72" t="s">
        <v>315</v>
      </c>
      <c r="E38" s="103"/>
      <c r="F38" s="103"/>
      <c r="G38" s="103"/>
      <c r="H38" s="103">
        <f>I38+L38</f>
        <v>1331.5615</v>
      </c>
      <c r="I38" s="103"/>
      <c r="J38" s="103"/>
      <c r="K38" s="103"/>
      <c r="L38" s="103">
        <v>1331.5615</v>
      </c>
      <c r="M38" s="103">
        <v>1331.5615</v>
      </c>
      <c r="N38" s="103">
        <v>1331.5615</v>
      </c>
      <c r="O38" s="103">
        <f t="shared" si="2"/>
        <v>1331.5615</v>
      </c>
    </row>
    <row r="39" spans="2:17" s="44" customFormat="1" ht="31.5" customHeight="1">
      <c r="B39" s="63"/>
      <c r="C39" s="63"/>
      <c r="D39" s="17" t="s">
        <v>303</v>
      </c>
      <c r="E39" s="102">
        <f>E41+E42</f>
        <v>58285.8</v>
      </c>
      <c r="F39" s="102"/>
      <c r="G39" s="82"/>
      <c r="H39" s="102">
        <f>H41+H42</f>
        <v>0</v>
      </c>
      <c r="I39" s="102"/>
      <c r="J39" s="102"/>
      <c r="K39" s="102"/>
      <c r="L39" s="102"/>
      <c r="M39" s="102"/>
      <c r="N39" s="102"/>
      <c r="O39" s="102">
        <f t="shared" si="2"/>
        <v>58285.8</v>
      </c>
    </row>
    <row r="40" spans="2:17" s="44" customFormat="1" ht="12.75" customHeight="1">
      <c r="B40" s="63"/>
      <c r="C40" s="63"/>
      <c r="D40" s="17" t="s">
        <v>304</v>
      </c>
      <c r="E40" s="102"/>
      <c r="F40" s="102"/>
      <c r="G40" s="82"/>
      <c r="H40" s="102"/>
      <c r="I40" s="102"/>
      <c r="J40" s="102"/>
      <c r="K40" s="102"/>
      <c r="L40" s="102"/>
      <c r="M40" s="102"/>
      <c r="N40" s="102"/>
      <c r="O40" s="102"/>
    </row>
    <row r="41" spans="2:17" s="44" customFormat="1" ht="17.25" customHeight="1">
      <c r="B41" s="63"/>
      <c r="C41" s="63"/>
      <c r="D41" s="17" t="s">
        <v>292</v>
      </c>
      <c r="E41" s="102">
        <f>9753.2</f>
        <v>9753.2000000000007</v>
      </c>
      <c r="F41" s="102"/>
      <c r="G41" s="82"/>
      <c r="H41" s="102">
        <f t="shared" ref="H41:H42" si="8">I41+L41</f>
        <v>0</v>
      </c>
      <c r="I41" s="102"/>
      <c r="J41" s="102"/>
      <c r="K41" s="102"/>
      <c r="L41" s="102"/>
      <c r="M41" s="102"/>
      <c r="N41" s="102"/>
      <c r="O41" s="102">
        <f t="shared" si="2"/>
        <v>9753.2000000000007</v>
      </c>
    </row>
    <row r="42" spans="2:17" s="44" customFormat="1" ht="18" customHeight="1">
      <c r="B42" s="63"/>
      <c r="C42" s="63"/>
      <c r="D42" s="17" t="s">
        <v>298</v>
      </c>
      <c r="E42" s="102">
        <v>48532.6</v>
      </c>
      <c r="F42" s="102"/>
      <c r="G42" s="82"/>
      <c r="H42" s="102">
        <f t="shared" si="8"/>
        <v>0</v>
      </c>
      <c r="I42" s="102"/>
      <c r="J42" s="102"/>
      <c r="K42" s="102"/>
      <c r="L42" s="102"/>
      <c r="M42" s="102"/>
      <c r="N42" s="102"/>
      <c r="O42" s="102">
        <f t="shared" si="2"/>
        <v>48532.6</v>
      </c>
    </row>
    <row r="43" spans="2:17" ht="19.5" customHeight="1">
      <c r="B43" s="21" t="s">
        <v>140</v>
      </c>
      <c r="C43" s="21" t="s">
        <v>48</v>
      </c>
      <c r="D43" s="15" t="s">
        <v>274</v>
      </c>
      <c r="E43" s="29">
        <v>9640.7000000000007</v>
      </c>
      <c r="F43" s="29"/>
      <c r="G43" s="29"/>
      <c r="H43" s="28">
        <f>I43+L43</f>
        <v>4279</v>
      </c>
      <c r="I43" s="28">
        <v>3759</v>
      </c>
      <c r="J43" s="28"/>
      <c r="K43" s="28"/>
      <c r="L43" s="28">
        <v>520</v>
      </c>
      <c r="M43" s="28">
        <v>520</v>
      </c>
      <c r="N43" s="28">
        <v>520</v>
      </c>
      <c r="O43" s="29">
        <f t="shared" si="2"/>
        <v>13919.7</v>
      </c>
    </row>
    <row r="44" spans="2:17" ht="31.5" customHeight="1">
      <c r="B44" s="21" t="s">
        <v>232</v>
      </c>
      <c r="C44" s="21"/>
      <c r="D44" s="39" t="s">
        <v>231</v>
      </c>
      <c r="E44" s="29">
        <f>E45+E46</f>
        <v>3323.5</v>
      </c>
      <c r="F44" s="29"/>
      <c r="G44" s="29"/>
      <c r="H44" s="28"/>
      <c r="I44" s="28"/>
      <c r="J44" s="28"/>
      <c r="K44" s="28"/>
      <c r="L44" s="28"/>
      <c r="M44" s="28"/>
      <c r="N44" s="28"/>
      <c r="O44" s="29">
        <f>E44+H44</f>
        <v>3323.5</v>
      </c>
    </row>
    <row r="45" spans="2:17" s="26" customFormat="1" ht="33" customHeight="1">
      <c r="B45" s="18" t="s">
        <v>235</v>
      </c>
      <c r="C45" s="18" t="s">
        <v>237</v>
      </c>
      <c r="D45" s="17" t="s">
        <v>233</v>
      </c>
      <c r="E45" s="24">
        <v>1676.2</v>
      </c>
      <c r="F45" s="24"/>
      <c r="G45" s="24"/>
      <c r="H45" s="25"/>
      <c r="I45" s="25"/>
      <c r="J45" s="25"/>
      <c r="K45" s="25"/>
      <c r="L45" s="25"/>
      <c r="M45" s="25"/>
      <c r="N45" s="25"/>
      <c r="O45" s="24">
        <f>E45+H45</f>
        <v>1676.2</v>
      </c>
    </row>
    <row r="46" spans="2:17" s="26" customFormat="1" ht="33.75" customHeight="1">
      <c r="B46" s="18" t="s">
        <v>236</v>
      </c>
      <c r="C46" s="18" t="s">
        <v>237</v>
      </c>
      <c r="D46" s="17" t="s">
        <v>234</v>
      </c>
      <c r="E46" s="24">
        <v>1647.3</v>
      </c>
      <c r="F46" s="24"/>
      <c r="G46" s="24"/>
      <c r="H46" s="25"/>
      <c r="I46" s="25"/>
      <c r="J46" s="25"/>
      <c r="K46" s="25"/>
      <c r="L46" s="25"/>
      <c r="M46" s="25"/>
      <c r="N46" s="25"/>
      <c r="O46" s="24">
        <f>E46+H46</f>
        <v>1647.3</v>
      </c>
    </row>
    <row r="47" spans="2:17" s="64" customFormat="1" ht="32.25" customHeight="1">
      <c r="B47" s="62" t="s">
        <v>49</v>
      </c>
      <c r="C47" s="63"/>
      <c r="D47" s="34" t="s">
        <v>13</v>
      </c>
      <c r="E47" s="60">
        <f>E48+E51+E54+E57+E65+E69+E71+E73+E76+E78+E79+E80+E81+E84+E85+E83</f>
        <v>149728.70000000001</v>
      </c>
      <c r="F47" s="60">
        <f>F48+F51+F54+F57+F68+F69+F71+F73+F76+F78+F79+F80+F81+F84+F85+F83</f>
        <v>6621.1</v>
      </c>
      <c r="G47" s="60">
        <f>G48+G51+G54+G57+G68+G69+G71+G73+G76+G78+G79+G80+G81+G84+G85+G83</f>
        <v>161.69999999999999</v>
      </c>
      <c r="H47" s="61">
        <f>L47+I47</f>
        <v>14</v>
      </c>
      <c r="I47" s="60">
        <f t="shared" ref="I47:N47" si="9">I48+I51+I54+I57+I68+I69+I71+I73+I76+I78+I79+I80+I81+I84+I85+I83</f>
        <v>0</v>
      </c>
      <c r="J47" s="60">
        <f t="shared" si="9"/>
        <v>0</v>
      </c>
      <c r="K47" s="60">
        <f t="shared" si="9"/>
        <v>0</v>
      </c>
      <c r="L47" s="60">
        <f t="shared" si="9"/>
        <v>14</v>
      </c>
      <c r="M47" s="60">
        <f t="shared" si="9"/>
        <v>0</v>
      </c>
      <c r="N47" s="60">
        <f t="shared" si="9"/>
        <v>0</v>
      </c>
      <c r="O47" s="41">
        <f t="shared" si="2"/>
        <v>149742.70000000001</v>
      </c>
      <c r="Q47" s="65"/>
    </row>
    <row r="48" spans="2:17" s="33" customFormat="1" ht="94.5" customHeight="1">
      <c r="B48" s="30" t="s">
        <v>50</v>
      </c>
      <c r="C48" s="30"/>
      <c r="D48" s="34" t="s">
        <v>51</v>
      </c>
      <c r="E48" s="12">
        <f>E49+E50</f>
        <v>37437.699999999997</v>
      </c>
      <c r="F48" s="12">
        <f t="shared" ref="F48:N50" si="10">F49+F50</f>
        <v>0</v>
      </c>
      <c r="G48" s="12">
        <f t="shared" si="10"/>
        <v>0</v>
      </c>
      <c r="H48" s="12">
        <f t="shared" si="10"/>
        <v>0</v>
      </c>
      <c r="I48" s="12">
        <f t="shared" si="10"/>
        <v>0</v>
      </c>
      <c r="J48" s="12">
        <f t="shared" si="10"/>
        <v>0</v>
      </c>
      <c r="K48" s="12">
        <f t="shared" si="10"/>
        <v>0</v>
      </c>
      <c r="L48" s="12">
        <f t="shared" si="10"/>
        <v>0</v>
      </c>
      <c r="M48" s="12">
        <f t="shared" si="10"/>
        <v>0</v>
      </c>
      <c r="N48" s="12">
        <f t="shared" si="10"/>
        <v>0</v>
      </c>
      <c r="O48" s="35">
        <f t="shared" si="2"/>
        <v>37437.699999999997</v>
      </c>
      <c r="Q48" s="36"/>
    </row>
    <row r="49" spans="2:15" ht="47.25">
      <c r="B49" s="21" t="s">
        <v>52</v>
      </c>
      <c r="C49" s="21" t="s">
        <v>34</v>
      </c>
      <c r="D49" s="17" t="s">
        <v>176</v>
      </c>
      <c r="E49" s="2">
        <v>8610.7000000000007</v>
      </c>
      <c r="F49" s="2"/>
      <c r="G49" s="2"/>
      <c r="H49" s="12">
        <f t="shared" si="10"/>
        <v>0</v>
      </c>
      <c r="I49" s="13"/>
      <c r="J49" s="13"/>
      <c r="K49" s="13"/>
      <c r="L49" s="12">
        <f t="shared" si="10"/>
        <v>0</v>
      </c>
      <c r="M49" s="13"/>
      <c r="N49" s="13"/>
      <c r="O49" s="29">
        <f t="shared" si="2"/>
        <v>8610.7000000000007</v>
      </c>
    </row>
    <row r="50" spans="2:15" ht="47.25">
      <c r="B50" s="21" t="s">
        <v>85</v>
      </c>
      <c r="C50" s="21" t="s">
        <v>36</v>
      </c>
      <c r="D50" s="17" t="s">
        <v>103</v>
      </c>
      <c r="E50" s="13">
        <v>28827</v>
      </c>
      <c r="F50" s="2"/>
      <c r="G50" s="2"/>
      <c r="H50" s="12">
        <f t="shared" si="10"/>
        <v>0</v>
      </c>
      <c r="I50" s="13"/>
      <c r="J50" s="13"/>
      <c r="K50" s="13"/>
      <c r="L50" s="12">
        <f t="shared" si="10"/>
        <v>0</v>
      </c>
      <c r="M50" s="13"/>
      <c r="N50" s="13"/>
      <c r="O50" s="2">
        <f t="shared" si="2"/>
        <v>28827</v>
      </c>
    </row>
    <row r="51" spans="2:15" s="33" customFormat="1" ht="47.25">
      <c r="B51" s="30" t="s">
        <v>53</v>
      </c>
      <c r="C51" s="30"/>
      <c r="D51" s="34" t="s">
        <v>54</v>
      </c>
      <c r="E51" s="12">
        <f>E52+E53</f>
        <v>255</v>
      </c>
      <c r="F51" s="12">
        <f t="shared" ref="F51:N53" si="11">F52+F53</f>
        <v>0</v>
      </c>
      <c r="G51" s="12">
        <f>G52+G53</f>
        <v>0</v>
      </c>
      <c r="H51" s="12">
        <f t="shared" si="11"/>
        <v>0</v>
      </c>
      <c r="I51" s="12">
        <f t="shared" si="11"/>
        <v>0</v>
      </c>
      <c r="J51" s="12">
        <f t="shared" si="11"/>
        <v>0</v>
      </c>
      <c r="K51" s="12">
        <f t="shared" si="11"/>
        <v>0</v>
      </c>
      <c r="L51" s="12">
        <f t="shared" si="11"/>
        <v>0</v>
      </c>
      <c r="M51" s="12">
        <f t="shared" si="11"/>
        <v>0</v>
      </c>
      <c r="N51" s="12">
        <f t="shared" si="11"/>
        <v>0</v>
      </c>
      <c r="O51" s="12">
        <f t="shared" si="2"/>
        <v>255</v>
      </c>
    </row>
    <row r="52" spans="2:15" ht="63">
      <c r="B52" s="21" t="s">
        <v>55</v>
      </c>
      <c r="C52" s="21" t="s">
        <v>34</v>
      </c>
      <c r="D52" s="17" t="s">
        <v>177</v>
      </c>
      <c r="E52" s="13">
        <v>85</v>
      </c>
      <c r="F52" s="2"/>
      <c r="G52" s="2"/>
      <c r="H52" s="12"/>
      <c r="I52" s="13"/>
      <c r="J52" s="13"/>
      <c r="K52" s="13"/>
      <c r="L52" s="12">
        <f t="shared" si="11"/>
        <v>0</v>
      </c>
      <c r="M52" s="13"/>
      <c r="N52" s="13"/>
      <c r="O52" s="2">
        <f t="shared" si="2"/>
        <v>85</v>
      </c>
    </row>
    <row r="53" spans="2:15" ht="63">
      <c r="B53" s="21" t="s">
        <v>178</v>
      </c>
      <c r="C53" s="21" t="s">
        <v>36</v>
      </c>
      <c r="D53" s="17" t="s">
        <v>104</v>
      </c>
      <c r="E53" s="13">
        <v>170</v>
      </c>
      <c r="F53" s="2"/>
      <c r="G53" s="2"/>
      <c r="H53" s="12"/>
      <c r="I53" s="13"/>
      <c r="J53" s="13"/>
      <c r="K53" s="13"/>
      <c r="L53" s="12">
        <f t="shared" si="11"/>
        <v>0</v>
      </c>
      <c r="M53" s="13"/>
      <c r="N53" s="13"/>
      <c r="O53" s="2">
        <f t="shared" si="2"/>
        <v>170</v>
      </c>
    </row>
    <row r="54" spans="2:15" s="33" customFormat="1" ht="78.75">
      <c r="B54" s="30" t="s">
        <v>73</v>
      </c>
      <c r="C54" s="30" t="s">
        <v>34</v>
      </c>
      <c r="D54" s="34" t="s">
        <v>179</v>
      </c>
      <c r="E54" s="12">
        <f>E55+E56</f>
        <v>529</v>
      </c>
      <c r="F54" s="12">
        <f t="shared" ref="F54:N54" si="12">F55+F56</f>
        <v>0</v>
      </c>
      <c r="G54" s="12">
        <f t="shared" si="12"/>
        <v>0</v>
      </c>
      <c r="H54" s="12">
        <f>H55+H56</f>
        <v>0</v>
      </c>
      <c r="I54" s="12">
        <f t="shared" si="12"/>
        <v>0</v>
      </c>
      <c r="J54" s="12">
        <f t="shared" si="12"/>
        <v>0</v>
      </c>
      <c r="K54" s="12">
        <f t="shared" si="12"/>
        <v>0</v>
      </c>
      <c r="L54" s="12">
        <f t="shared" si="12"/>
        <v>0</v>
      </c>
      <c r="M54" s="12">
        <f t="shared" si="12"/>
        <v>0</v>
      </c>
      <c r="N54" s="12">
        <f t="shared" si="12"/>
        <v>0</v>
      </c>
      <c r="O54" s="12">
        <f t="shared" si="2"/>
        <v>529</v>
      </c>
    </row>
    <row r="55" spans="2:15" ht="31.5">
      <c r="B55" s="21" t="s">
        <v>84</v>
      </c>
      <c r="C55" s="21" t="s">
        <v>34</v>
      </c>
      <c r="D55" s="17" t="s">
        <v>180</v>
      </c>
      <c r="E55" s="2">
        <v>309</v>
      </c>
      <c r="F55" s="2"/>
      <c r="G55" s="2"/>
      <c r="H55" s="12"/>
      <c r="I55" s="13"/>
      <c r="J55" s="13"/>
      <c r="K55" s="13"/>
      <c r="L55" s="12"/>
      <c r="M55" s="13"/>
      <c r="N55" s="13"/>
      <c r="O55" s="2">
        <f t="shared" si="2"/>
        <v>309</v>
      </c>
    </row>
    <row r="56" spans="2:15" ht="31.5">
      <c r="B56" s="21" t="s">
        <v>181</v>
      </c>
      <c r="C56" s="21" t="s">
        <v>74</v>
      </c>
      <c r="D56" s="17" t="s">
        <v>86</v>
      </c>
      <c r="E56" s="2">
        <v>220</v>
      </c>
      <c r="F56" s="2"/>
      <c r="G56" s="2"/>
      <c r="H56" s="12"/>
      <c r="I56" s="13"/>
      <c r="J56" s="13"/>
      <c r="K56" s="13"/>
      <c r="L56" s="12"/>
      <c r="M56" s="13"/>
      <c r="N56" s="13"/>
      <c r="O56" s="2">
        <f t="shared" si="2"/>
        <v>220</v>
      </c>
    </row>
    <row r="57" spans="2:15" s="33" customFormat="1" ht="47.25">
      <c r="B57" s="30" t="s">
        <v>87</v>
      </c>
      <c r="C57" s="30"/>
      <c r="D57" s="34" t="s">
        <v>256</v>
      </c>
      <c r="E57" s="12">
        <f>E58+E59+E60+E61+E62+E63+E64</f>
        <v>59173.3</v>
      </c>
      <c r="F57" s="12">
        <f t="shared" ref="F57:O57" si="13">F58+F59+F60+F61+F62+F63+F64</f>
        <v>0</v>
      </c>
      <c r="G57" s="12">
        <f t="shared" si="13"/>
        <v>0</v>
      </c>
      <c r="H57" s="12">
        <f t="shared" si="13"/>
        <v>0</v>
      </c>
      <c r="I57" s="12">
        <f t="shared" si="13"/>
        <v>0</v>
      </c>
      <c r="J57" s="12">
        <f t="shared" si="13"/>
        <v>0</v>
      </c>
      <c r="K57" s="12">
        <f t="shared" si="13"/>
        <v>0</v>
      </c>
      <c r="L57" s="12">
        <f t="shared" si="13"/>
        <v>0</v>
      </c>
      <c r="M57" s="12">
        <f t="shared" si="13"/>
        <v>0</v>
      </c>
      <c r="N57" s="12">
        <f t="shared" si="13"/>
        <v>0</v>
      </c>
      <c r="O57" s="12">
        <f t="shared" si="13"/>
        <v>59173.3</v>
      </c>
    </row>
    <row r="58" spans="2:15" s="16" customFormat="1" ht="30">
      <c r="B58" s="18" t="s">
        <v>88</v>
      </c>
      <c r="C58" s="18" t="s">
        <v>89</v>
      </c>
      <c r="D58" s="75" t="s">
        <v>90</v>
      </c>
      <c r="E58" s="14">
        <v>726.6</v>
      </c>
      <c r="F58" s="14"/>
      <c r="G58" s="14"/>
      <c r="H58" s="19"/>
      <c r="I58" s="20"/>
      <c r="J58" s="20"/>
      <c r="K58" s="20"/>
      <c r="L58" s="20"/>
      <c r="M58" s="20"/>
      <c r="N58" s="20"/>
      <c r="O58" s="14">
        <f t="shared" si="2"/>
        <v>726.6</v>
      </c>
    </row>
    <row r="59" spans="2:15" s="16" customFormat="1">
      <c r="B59" s="18" t="s">
        <v>91</v>
      </c>
      <c r="C59" s="18" t="s">
        <v>89</v>
      </c>
      <c r="D59" s="75" t="s">
        <v>101</v>
      </c>
      <c r="E59" s="14">
        <v>181.3</v>
      </c>
      <c r="F59" s="14"/>
      <c r="G59" s="14"/>
      <c r="H59" s="19"/>
      <c r="I59" s="20"/>
      <c r="J59" s="20"/>
      <c r="K59" s="20"/>
      <c r="L59" s="20"/>
      <c r="M59" s="20"/>
      <c r="N59" s="20"/>
      <c r="O59" s="14">
        <f t="shared" si="2"/>
        <v>181.3</v>
      </c>
    </row>
    <row r="60" spans="2:15" s="16" customFormat="1">
      <c r="B60" s="18" t="s">
        <v>92</v>
      </c>
      <c r="C60" s="18" t="s">
        <v>89</v>
      </c>
      <c r="D60" s="75" t="s">
        <v>93</v>
      </c>
      <c r="E60" s="14">
        <f>43161.5-3600</f>
        <v>39561.5</v>
      </c>
      <c r="F60" s="14"/>
      <c r="G60" s="14"/>
      <c r="H60" s="19"/>
      <c r="I60" s="20"/>
      <c r="J60" s="20"/>
      <c r="K60" s="20"/>
      <c r="L60" s="20"/>
      <c r="M60" s="20"/>
      <c r="N60" s="20"/>
      <c r="O60" s="14">
        <f t="shared" si="2"/>
        <v>39561.5</v>
      </c>
    </row>
    <row r="61" spans="2:15" s="16" customFormat="1" ht="30">
      <c r="B61" s="18" t="s">
        <v>94</v>
      </c>
      <c r="C61" s="18" t="s">
        <v>89</v>
      </c>
      <c r="D61" s="75" t="s">
        <v>95</v>
      </c>
      <c r="E61" s="14">
        <v>4537.8</v>
      </c>
      <c r="F61" s="14"/>
      <c r="G61" s="14"/>
      <c r="H61" s="19"/>
      <c r="I61" s="20"/>
      <c r="J61" s="20"/>
      <c r="K61" s="20"/>
      <c r="L61" s="20"/>
      <c r="M61" s="20"/>
      <c r="N61" s="20"/>
      <c r="O61" s="14">
        <f t="shared" si="2"/>
        <v>4537.8</v>
      </c>
    </row>
    <row r="62" spans="2:15" s="16" customFormat="1" ht="30">
      <c r="B62" s="18" t="s">
        <v>96</v>
      </c>
      <c r="C62" s="18" t="s">
        <v>89</v>
      </c>
      <c r="D62" s="75" t="s">
        <v>97</v>
      </c>
      <c r="E62" s="14">
        <v>7502.6</v>
      </c>
      <c r="F62" s="14"/>
      <c r="G62" s="14"/>
      <c r="H62" s="19"/>
      <c r="I62" s="20"/>
      <c r="J62" s="20"/>
      <c r="K62" s="20"/>
      <c r="L62" s="20"/>
      <c r="M62" s="20"/>
      <c r="N62" s="20"/>
      <c r="O62" s="14">
        <f t="shared" si="2"/>
        <v>7502.6</v>
      </c>
    </row>
    <row r="63" spans="2:15" s="16" customFormat="1" ht="30">
      <c r="B63" s="18" t="s">
        <v>98</v>
      </c>
      <c r="C63" s="18" t="s">
        <v>89</v>
      </c>
      <c r="D63" s="75" t="s">
        <v>99</v>
      </c>
      <c r="E63" s="14">
        <v>383.3</v>
      </c>
      <c r="F63" s="14"/>
      <c r="G63" s="14"/>
      <c r="H63" s="19"/>
      <c r="I63" s="20"/>
      <c r="J63" s="20"/>
      <c r="K63" s="20"/>
      <c r="L63" s="20"/>
      <c r="M63" s="20"/>
      <c r="N63" s="20"/>
      <c r="O63" s="14">
        <f t="shared" si="2"/>
        <v>383.3</v>
      </c>
    </row>
    <row r="64" spans="2:15" s="16" customFormat="1" ht="30">
      <c r="B64" s="18" t="s">
        <v>100</v>
      </c>
      <c r="C64" s="18" t="s">
        <v>89</v>
      </c>
      <c r="D64" s="75" t="s">
        <v>102</v>
      </c>
      <c r="E64" s="20">
        <v>6280.2</v>
      </c>
      <c r="F64" s="14"/>
      <c r="G64" s="14"/>
      <c r="H64" s="19"/>
      <c r="I64" s="20"/>
      <c r="J64" s="20"/>
      <c r="K64" s="20"/>
      <c r="L64" s="20"/>
      <c r="M64" s="20"/>
      <c r="N64" s="20"/>
      <c r="O64" s="14">
        <f t="shared" si="2"/>
        <v>6280.2</v>
      </c>
    </row>
    <row r="65" spans="2:15" s="16" customFormat="1" ht="189">
      <c r="B65" s="86" t="s">
        <v>116</v>
      </c>
      <c r="C65" s="86"/>
      <c r="D65" s="87" t="s">
        <v>257</v>
      </c>
      <c r="E65" s="61">
        <f>E66+E68+E67</f>
        <v>13626.699999999999</v>
      </c>
      <c r="F65" s="14"/>
      <c r="G65" s="14"/>
      <c r="H65" s="19"/>
      <c r="I65" s="20"/>
      <c r="J65" s="20"/>
      <c r="K65" s="20"/>
      <c r="L65" s="20"/>
      <c r="M65" s="20"/>
      <c r="N65" s="20"/>
      <c r="O65" s="60">
        <f t="shared" si="2"/>
        <v>13626.699999999999</v>
      </c>
    </row>
    <row r="66" spans="2:15" s="16" customFormat="1" ht="47.25">
      <c r="B66" s="18" t="s">
        <v>258</v>
      </c>
      <c r="C66" s="18" t="s">
        <v>30</v>
      </c>
      <c r="D66" s="17" t="s">
        <v>260</v>
      </c>
      <c r="E66" s="14">
        <v>9025.4</v>
      </c>
      <c r="F66" s="14"/>
      <c r="G66" s="14"/>
      <c r="H66" s="19"/>
      <c r="I66" s="20"/>
      <c r="J66" s="20"/>
      <c r="K66" s="20"/>
      <c r="L66" s="20"/>
      <c r="M66" s="20"/>
      <c r="N66" s="20"/>
      <c r="O66" s="14">
        <f t="shared" si="2"/>
        <v>9025.4</v>
      </c>
    </row>
    <row r="67" spans="2:15" s="16" customFormat="1" ht="63">
      <c r="B67" s="18" t="s">
        <v>282</v>
      </c>
      <c r="C67" s="18" t="s">
        <v>30</v>
      </c>
      <c r="D67" s="17" t="s">
        <v>281</v>
      </c>
      <c r="E67" s="14">
        <v>3600</v>
      </c>
      <c r="F67" s="14"/>
      <c r="G67" s="14"/>
      <c r="H67" s="19"/>
      <c r="I67" s="20"/>
      <c r="J67" s="20"/>
      <c r="K67" s="20"/>
      <c r="L67" s="20"/>
      <c r="M67" s="20"/>
      <c r="N67" s="20"/>
      <c r="O67" s="14">
        <f t="shared" si="2"/>
        <v>3600</v>
      </c>
    </row>
    <row r="68" spans="2:15" s="16" customFormat="1" ht="47.25">
      <c r="B68" s="18" t="s">
        <v>259</v>
      </c>
      <c r="C68" s="18" t="s">
        <v>30</v>
      </c>
      <c r="D68" s="17" t="s">
        <v>261</v>
      </c>
      <c r="E68" s="14">
        <v>1001.3</v>
      </c>
      <c r="F68" s="97"/>
      <c r="G68" s="97"/>
      <c r="H68" s="98"/>
      <c r="I68" s="98"/>
      <c r="J68" s="98"/>
      <c r="K68" s="98"/>
      <c r="L68" s="98"/>
      <c r="M68" s="98"/>
      <c r="N68" s="98"/>
      <c r="O68" s="97">
        <f t="shared" si="2"/>
        <v>1001.3</v>
      </c>
    </row>
    <row r="69" spans="2:15" s="37" customFormat="1" ht="63">
      <c r="B69" s="30" t="s">
        <v>112</v>
      </c>
      <c r="C69" s="30"/>
      <c r="D69" s="34" t="s">
        <v>262</v>
      </c>
      <c r="E69" s="12">
        <f>E70</f>
        <v>5405.4000000000005</v>
      </c>
      <c r="F69" s="12">
        <f t="shared" ref="F69:N69" si="14">F70+F71</f>
        <v>5185.7</v>
      </c>
      <c r="G69" s="12">
        <f t="shared" si="14"/>
        <v>52.4</v>
      </c>
      <c r="H69" s="12">
        <f t="shared" si="14"/>
        <v>14</v>
      </c>
      <c r="I69" s="12">
        <f t="shared" si="14"/>
        <v>0</v>
      </c>
      <c r="J69" s="12">
        <f t="shared" si="14"/>
        <v>0</v>
      </c>
      <c r="K69" s="12">
        <f t="shared" si="14"/>
        <v>0</v>
      </c>
      <c r="L69" s="12">
        <f t="shared" si="14"/>
        <v>14</v>
      </c>
      <c r="M69" s="12">
        <f t="shared" si="14"/>
        <v>0</v>
      </c>
      <c r="N69" s="12">
        <f t="shared" si="14"/>
        <v>0</v>
      </c>
      <c r="O69" s="12">
        <f>E69+H69</f>
        <v>5419.4000000000005</v>
      </c>
    </row>
    <row r="70" spans="2:15" s="16" customFormat="1" ht="63">
      <c r="B70" s="18" t="s">
        <v>113</v>
      </c>
      <c r="C70" s="18" t="s">
        <v>31</v>
      </c>
      <c r="D70" s="17" t="s">
        <v>117</v>
      </c>
      <c r="E70" s="14">
        <f>5348.1+57.3</f>
        <v>5405.4000000000005</v>
      </c>
      <c r="F70" s="14">
        <f>4242.5+943.2</f>
        <v>5185.7</v>
      </c>
      <c r="G70" s="14">
        <v>52.4</v>
      </c>
      <c r="H70" s="25">
        <f>I70+L70</f>
        <v>14</v>
      </c>
      <c r="I70" s="25"/>
      <c r="J70" s="25"/>
      <c r="K70" s="25"/>
      <c r="L70" s="25">
        <v>14</v>
      </c>
      <c r="M70" s="25"/>
      <c r="N70" s="25"/>
      <c r="O70" s="24">
        <f t="shared" ref="O70:O79" si="15">E70+H70</f>
        <v>5419.4000000000005</v>
      </c>
    </row>
    <row r="71" spans="2:15" s="37" customFormat="1" ht="31.5">
      <c r="B71" s="30" t="s">
        <v>105</v>
      </c>
      <c r="C71" s="30"/>
      <c r="D71" s="34" t="s">
        <v>107</v>
      </c>
      <c r="E71" s="12">
        <f>E72</f>
        <v>33.6</v>
      </c>
      <c r="F71" s="12"/>
      <c r="G71" s="12"/>
      <c r="H71" s="19"/>
      <c r="I71" s="19"/>
      <c r="J71" s="19"/>
      <c r="K71" s="19"/>
      <c r="L71" s="19"/>
      <c r="M71" s="19"/>
      <c r="N71" s="19"/>
      <c r="O71" s="12">
        <f>E71+H71</f>
        <v>33.6</v>
      </c>
    </row>
    <row r="72" spans="2:15" s="16" customFormat="1" ht="31.5">
      <c r="B72" s="18" t="s">
        <v>106</v>
      </c>
      <c r="C72" s="18" t="s">
        <v>89</v>
      </c>
      <c r="D72" s="17" t="s">
        <v>118</v>
      </c>
      <c r="E72" s="14">
        <f>33.6</f>
        <v>33.6</v>
      </c>
      <c r="F72" s="14"/>
      <c r="G72" s="14"/>
      <c r="H72" s="20"/>
      <c r="I72" s="20"/>
      <c r="J72" s="20"/>
      <c r="K72" s="20"/>
      <c r="L72" s="20"/>
      <c r="M72" s="20"/>
      <c r="N72" s="20"/>
      <c r="O72" s="14">
        <f t="shared" si="15"/>
        <v>33.6</v>
      </c>
    </row>
    <row r="73" spans="2:15" s="33" customFormat="1" ht="31.5">
      <c r="B73" s="30" t="s">
        <v>147</v>
      </c>
      <c r="C73" s="30"/>
      <c r="D73" s="34" t="s">
        <v>109</v>
      </c>
      <c r="E73" s="12">
        <f>E74+E75</f>
        <v>3343.7999999999997</v>
      </c>
      <c r="F73" s="12">
        <f>F74+F75</f>
        <v>1435.4</v>
      </c>
      <c r="G73" s="12">
        <f>G74+G75</f>
        <v>109.3</v>
      </c>
      <c r="H73" s="19"/>
      <c r="I73" s="19"/>
      <c r="J73" s="19"/>
      <c r="K73" s="19"/>
      <c r="L73" s="19"/>
      <c r="M73" s="19"/>
      <c r="N73" s="19"/>
      <c r="O73" s="12">
        <f>E73+H73</f>
        <v>3343.7999999999997</v>
      </c>
    </row>
    <row r="74" spans="2:15" s="16" customFormat="1" ht="47.25">
      <c r="B74" s="18" t="s">
        <v>148</v>
      </c>
      <c r="C74" s="18" t="s">
        <v>89</v>
      </c>
      <c r="D74" s="17" t="s">
        <v>149</v>
      </c>
      <c r="E74" s="14">
        <f>1630.3+1417.9+24.5</f>
        <v>3072.7</v>
      </c>
      <c r="F74" s="14">
        <f>1172.5+262.9</f>
        <v>1435.4</v>
      </c>
      <c r="G74" s="14">
        <v>109.3</v>
      </c>
      <c r="H74" s="25"/>
      <c r="I74" s="25"/>
      <c r="J74" s="25"/>
      <c r="K74" s="25"/>
      <c r="L74" s="25"/>
      <c r="M74" s="25"/>
      <c r="N74" s="25"/>
      <c r="O74" s="24">
        <f t="shared" si="15"/>
        <v>3072.7</v>
      </c>
    </row>
    <row r="75" spans="2:15" s="16" customFormat="1" ht="15.75">
      <c r="B75" s="18" t="s">
        <v>150</v>
      </c>
      <c r="C75" s="18" t="s">
        <v>89</v>
      </c>
      <c r="D75" s="17" t="s">
        <v>119</v>
      </c>
      <c r="E75" s="24">
        <v>271.10000000000002</v>
      </c>
      <c r="F75" s="24"/>
      <c r="G75" s="24"/>
      <c r="H75" s="25"/>
      <c r="I75" s="25"/>
      <c r="J75" s="25"/>
      <c r="K75" s="25"/>
      <c r="L75" s="25"/>
      <c r="M75" s="25"/>
      <c r="N75" s="25"/>
      <c r="O75" s="24">
        <f t="shared" si="15"/>
        <v>271.10000000000002</v>
      </c>
    </row>
    <row r="76" spans="2:15" s="37" customFormat="1" ht="31.5">
      <c r="B76" s="30" t="s">
        <v>108</v>
      </c>
      <c r="C76" s="30"/>
      <c r="D76" s="34" t="s">
        <v>128</v>
      </c>
      <c r="E76" s="35">
        <f>E77</f>
        <v>591.5</v>
      </c>
      <c r="F76" s="35"/>
      <c r="G76" s="35"/>
      <c r="H76" s="40"/>
      <c r="I76" s="40"/>
      <c r="J76" s="40"/>
      <c r="K76" s="40"/>
      <c r="L76" s="40"/>
      <c r="M76" s="40"/>
      <c r="N76" s="40"/>
      <c r="O76" s="35">
        <f t="shared" si="15"/>
        <v>591.5</v>
      </c>
    </row>
    <row r="77" spans="2:15" s="16" customFormat="1" ht="15.75">
      <c r="B77" s="18" t="s">
        <v>151</v>
      </c>
      <c r="C77" s="18" t="s">
        <v>89</v>
      </c>
      <c r="D77" s="17" t="s">
        <v>129</v>
      </c>
      <c r="E77" s="24">
        <v>591.5</v>
      </c>
      <c r="F77" s="24"/>
      <c r="G77" s="24"/>
      <c r="H77" s="25"/>
      <c r="I77" s="25"/>
      <c r="J77" s="25"/>
      <c r="K77" s="25"/>
      <c r="L77" s="25"/>
      <c r="M77" s="25"/>
      <c r="N77" s="25"/>
      <c r="O77" s="24">
        <f>E77</f>
        <v>591.5</v>
      </c>
    </row>
    <row r="78" spans="2:15" s="16" customFormat="1" ht="78.75">
      <c r="B78" s="21" t="s">
        <v>110</v>
      </c>
      <c r="C78" s="21" t="s">
        <v>89</v>
      </c>
      <c r="D78" s="15" t="s">
        <v>111</v>
      </c>
      <c r="E78" s="2">
        <f>170+1031.7+217.5</f>
        <v>1419.2</v>
      </c>
      <c r="F78" s="2"/>
      <c r="G78" s="2"/>
      <c r="H78" s="13"/>
      <c r="I78" s="13"/>
      <c r="J78" s="13"/>
      <c r="K78" s="13"/>
      <c r="L78" s="13"/>
      <c r="M78" s="13"/>
      <c r="N78" s="13"/>
      <c r="O78" s="2">
        <f t="shared" si="15"/>
        <v>1419.2</v>
      </c>
    </row>
    <row r="79" spans="2:15" s="23" customFormat="1" ht="94.5">
      <c r="B79" s="21" t="s">
        <v>182</v>
      </c>
      <c r="C79" s="18" t="s">
        <v>30</v>
      </c>
      <c r="D79" s="15" t="s">
        <v>263</v>
      </c>
      <c r="E79" s="2">
        <v>520</v>
      </c>
      <c r="F79" s="12"/>
      <c r="G79" s="12"/>
      <c r="H79" s="12"/>
      <c r="I79" s="12"/>
      <c r="J79" s="12"/>
      <c r="K79" s="12"/>
      <c r="L79" s="12"/>
      <c r="M79" s="12"/>
      <c r="N79" s="12"/>
      <c r="O79" s="2">
        <f t="shared" si="15"/>
        <v>520</v>
      </c>
    </row>
    <row r="80" spans="2:15" ht="78.75">
      <c r="B80" s="21" t="s">
        <v>114</v>
      </c>
      <c r="C80" s="21" t="s">
        <v>36</v>
      </c>
      <c r="D80" s="15" t="s">
        <v>264</v>
      </c>
      <c r="E80" s="29">
        <v>850</v>
      </c>
      <c r="F80" s="29"/>
      <c r="G80" s="29"/>
      <c r="H80" s="2"/>
      <c r="I80" s="28"/>
      <c r="J80" s="28"/>
      <c r="K80" s="28"/>
      <c r="L80" s="28"/>
      <c r="M80" s="28"/>
      <c r="N80" s="28"/>
      <c r="O80" s="29">
        <f t="shared" si="2"/>
        <v>850</v>
      </c>
    </row>
    <row r="81" spans="2:15" s="23" customFormat="1" ht="15.75">
      <c r="B81" s="30" t="s">
        <v>265</v>
      </c>
      <c r="C81" s="30"/>
      <c r="D81" s="34" t="s">
        <v>115</v>
      </c>
      <c r="E81" s="35">
        <f>E82</f>
        <v>50</v>
      </c>
      <c r="F81" s="35"/>
      <c r="G81" s="35"/>
      <c r="H81" s="12">
        <f>H82</f>
        <v>0</v>
      </c>
      <c r="I81" s="40"/>
      <c r="J81" s="40"/>
      <c r="K81" s="40"/>
      <c r="L81" s="40"/>
      <c r="M81" s="40"/>
      <c r="N81" s="40"/>
      <c r="O81" s="35">
        <f>O82</f>
        <v>50</v>
      </c>
    </row>
    <row r="82" spans="2:15" s="26" customFormat="1" ht="47.25">
      <c r="B82" s="18" t="s">
        <v>266</v>
      </c>
      <c r="C82" s="18" t="s">
        <v>34</v>
      </c>
      <c r="D82" s="17" t="s">
        <v>267</v>
      </c>
      <c r="E82" s="24">
        <f>50</f>
        <v>50</v>
      </c>
      <c r="F82" s="24"/>
      <c r="G82" s="24"/>
      <c r="H82" s="25"/>
      <c r="I82" s="25"/>
      <c r="J82" s="25"/>
      <c r="K82" s="25"/>
      <c r="L82" s="25"/>
      <c r="M82" s="25"/>
      <c r="N82" s="25"/>
      <c r="O82" s="24">
        <f t="shared" si="2"/>
        <v>50</v>
      </c>
    </row>
    <row r="83" spans="2:15" ht="15.75">
      <c r="B83" s="21" t="s">
        <v>255</v>
      </c>
      <c r="C83" s="21" t="s">
        <v>216</v>
      </c>
      <c r="D83" s="15" t="s">
        <v>217</v>
      </c>
      <c r="E83" s="29">
        <v>50</v>
      </c>
      <c r="F83" s="29"/>
      <c r="G83" s="29"/>
      <c r="H83" s="28"/>
      <c r="I83" s="28"/>
      <c r="J83" s="28"/>
      <c r="K83" s="28"/>
      <c r="L83" s="28"/>
      <c r="M83" s="28"/>
      <c r="N83" s="28"/>
      <c r="O83" s="24">
        <f t="shared" si="2"/>
        <v>50</v>
      </c>
    </row>
    <row r="84" spans="2:15" ht="15.75">
      <c r="B84" s="88"/>
      <c r="C84" s="88"/>
      <c r="D84" s="89"/>
      <c r="E84" s="90"/>
      <c r="F84" s="29"/>
      <c r="G84" s="29"/>
      <c r="H84" s="28"/>
      <c r="I84" s="28"/>
      <c r="J84" s="28"/>
      <c r="K84" s="28"/>
      <c r="L84" s="28"/>
      <c r="M84" s="28"/>
      <c r="N84" s="28"/>
      <c r="O84" s="24"/>
    </row>
    <row r="85" spans="2:15" ht="15.75">
      <c r="B85" s="62" t="s">
        <v>268</v>
      </c>
      <c r="C85" s="62"/>
      <c r="D85" s="34" t="s">
        <v>239</v>
      </c>
      <c r="E85" s="60">
        <f>E86</f>
        <v>26443.5</v>
      </c>
      <c r="F85" s="60">
        <f t="shared" ref="F85:N85" si="16">F86</f>
        <v>0</v>
      </c>
      <c r="G85" s="60">
        <f t="shared" si="16"/>
        <v>0</v>
      </c>
      <c r="H85" s="60">
        <f t="shared" si="16"/>
        <v>0</v>
      </c>
      <c r="I85" s="60">
        <f t="shared" si="16"/>
        <v>0</v>
      </c>
      <c r="J85" s="60">
        <f t="shared" si="16"/>
        <v>0</v>
      </c>
      <c r="K85" s="60">
        <f t="shared" si="16"/>
        <v>0</v>
      </c>
      <c r="L85" s="60">
        <f t="shared" si="16"/>
        <v>0</v>
      </c>
      <c r="M85" s="60">
        <f t="shared" si="16"/>
        <v>0</v>
      </c>
      <c r="N85" s="60">
        <f t="shared" si="16"/>
        <v>0</v>
      </c>
      <c r="O85" s="91">
        <f t="shared" si="2"/>
        <v>26443.5</v>
      </c>
    </row>
    <row r="86" spans="2:15" ht="31.5">
      <c r="B86" s="21" t="s">
        <v>269</v>
      </c>
      <c r="C86" s="21" t="s">
        <v>38</v>
      </c>
      <c r="D86" s="15" t="s">
        <v>270</v>
      </c>
      <c r="E86" s="79">
        <f>2946.7+9000.4+9496.4+5000</f>
        <v>26443.5</v>
      </c>
      <c r="F86" s="2"/>
      <c r="G86" s="2"/>
      <c r="H86" s="19"/>
      <c r="I86" s="13"/>
      <c r="J86" s="13"/>
      <c r="K86" s="13"/>
      <c r="L86" s="13"/>
      <c r="M86" s="13"/>
      <c r="N86" s="13"/>
      <c r="O86" s="2"/>
    </row>
    <row r="87" spans="2:15" s="33" customFormat="1">
      <c r="B87" s="30" t="s">
        <v>60</v>
      </c>
      <c r="C87" s="30"/>
      <c r="D87" s="76" t="s">
        <v>15</v>
      </c>
      <c r="E87" s="12">
        <f>E88+E89+E90+E91</f>
        <v>14304.22</v>
      </c>
      <c r="F87" s="12">
        <f>F88+F89+F90+F91</f>
        <v>10391.799999999999</v>
      </c>
      <c r="G87" s="12">
        <f t="shared" ref="G87:N87" si="17">G88+G89+G90+G91</f>
        <v>1416.7</v>
      </c>
      <c r="H87" s="19">
        <f t="shared" si="17"/>
        <v>3749</v>
      </c>
      <c r="I87" s="19">
        <f t="shared" si="17"/>
        <v>226</v>
      </c>
      <c r="J87" s="19">
        <f t="shared" si="17"/>
        <v>39</v>
      </c>
      <c r="K87" s="19">
        <f t="shared" si="17"/>
        <v>0</v>
      </c>
      <c r="L87" s="19">
        <f t="shared" si="17"/>
        <v>3523</v>
      </c>
      <c r="M87" s="19">
        <f t="shared" si="17"/>
        <v>3523</v>
      </c>
      <c r="N87" s="19">
        <f t="shared" si="17"/>
        <v>3523</v>
      </c>
      <c r="O87" s="12">
        <f t="shared" si="2"/>
        <v>18053.22</v>
      </c>
    </row>
    <row r="88" spans="2:15">
      <c r="B88" s="21" t="s">
        <v>152</v>
      </c>
      <c r="C88" s="21" t="s">
        <v>62</v>
      </c>
      <c r="D88" s="77" t="s">
        <v>155</v>
      </c>
      <c r="E88" s="2">
        <f>4974.3+50</f>
        <v>5024.3</v>
      </c>
      <c r="F88" s="2">
        <f>3074.3+676.3</f>
        <v>3750.6000000000004</v>
      </c>
      <c r="G88" s="2">
        <v>558.29999999999995</v>
      </c>
      <c r="H88" s="13">
        <f>L88+I88</f>
        <v>754.5</v>
      </c>
      <c r="I88" s="13">
        <v>54.5</v>
      </c>
      <c r="J88" s="13"/>
      <c r="K88" s="13"/>
      <c r="L88" s="13">
        <f>85+15+600</f>
        <v>700</v>
      </c>
      <c r="M88" s="13">
        <f>100+600</f>
        <v>700</v>
      </c>
      <c r="N88" s="13">
        <f>100+600</f>
        <v>700</v>
      </c>
      <c r="O88" s="2">
        <f t="shared" si="2"/>
        <v>5778.8</v>
      </c>
    </row>
    <row r="89" spans="2:15">
      <c r="B89" s="21" t="s">
        <v>153</v>
      </c>
      <c r="C89" s="21" t="s">
        <v>62</v>
      </c>
      <c r="D89" s="77" t="s">
        <v>154</v>
      </c>
      <c r="E89" s="2">
        <f>1542.4+28.72</f>
        <v>1571.1200000000001</v>
      </c>
      <c r="F89" s="2">
        <f>978+215.2</f>
        <v>1193.2</v>
      </c>
      <c r="G89" s="2">
        <v>232.2</v>
      </c>
      <c r="H89" s="13">
        <f>I89+L89</f>
        <v>121.5</v>
      </c>
      <c r="I89" s="13">
        <v>31.5</v>
      </c>
      <c r="J89" s="13"/>
      <c r="K89" s="13"/>
      <c r="L89" s="13">
        <f>90</f>
        <v>90</v>
      </c>
      <c r="M89" s="13">
        <f>90</f>
        <v>90</v>
      </c>
      <c r="N89" s="13">
        <f>90</f>
        <v>90</v>
      </c>
      <c r="O89" s="2">
        <f t="shared" si="2"/>
        <v>1692.6200000000001</v>
      </c>
    </row>
    <row r="90" spans="2:15" ht="45">
      <c r="B90" s="21" t="s">
        <v>61</v>
      </c>
      <c r="C90" s="21" t="s">
        <v>63</v>
      </c>
      <c r="D90" s="77" t="s">
        <v>156</v>
      </c>
      <c r="E90" s="2">
        <f>5500.7+120</f>
        <v>5620.7</v>
      </c>
      <c r="F90" s="2">
        <f>3548.9+780.8</f>
        <v>4329.7</v>
      </c>
      <c r="G90" s="2">
        <v>600</v>
      </c>
      <c r="H90" s="13">
        <f>I90+L90</f>
        <v>2843</v>
      </c>
      <c r="I90" s="13">
        <v>140</v>
      </c>
      <c r="J90" s="13">
        <v>39</v>
      </c>
      <c r="K90" s="13"/>
      <c r="L90" s="13">
        <f>1000+15+40+10+10+120+8+1000+200+300</f>
        <v>2703</v>
      </c>
      <c r="M90" s="13">
        <f>2403+300</f>
        <v>2703</v>
      </c>
      <c r="N90" s="13">
        <f>2403+300</f>
        <v>2703</v>
      </c>
      <c r="O90" s="2">
        <f t="shared" si="2"/>
        <v>8463.7000000000007</v>
      </c>
    </row>
    <row r="91" spans="2:15" ht="30">
      <c r="B91" s="21" t="s">
        <v>157</v>
      </c>
      <c r="C91" s="21"/>
      <c r="D91" s="77" t="s">
        <v>158</v>
      </c>
      <c r="E91" s="2">
        <f>E92+E93</f>
        <v>2088.1</v>
      </c>
      <c r="F91" s="2">
        <f>F92+F93</f>
        <v>1118.3</v>
      </c>
      <c r="G91" s="2">
        <f t="shared" ref="G91:N91" si="18">G92+G93</f>
        <v>26.2</v>
      </c>
      <c r="H91" s="2">
        <f t="shared" si="18"/>
        <v>30</v>
      </c>
      <c r="I91" s="2">
        <f t="shared" si="18"/>
        <v>0</v>
      </c>
      <c r="J91" s="2">
        <f t="shared" si="18"/>
        <v>0</v>
      </c>
      <c r="K91" s="2">
        <f t="shared" si="18"/>
        <v>0</v>
      </c>
      <c r="L91" s="2">
        <f t="shared" si="18"/>
        <v>30</v>
      </c>
      <c r="M91" s="2">
        <f t="shared" si="18"/>
        <v>30</v>
      </c>
      <c r="N91" s="2">
        <f t="shared" si="18"/>
        <v>30</v>
      </c>
      <c r="O91" s="2">
        <f t="shared" si="2"/>
        <v>2118.1</v>
      </c>
    </row>
    <row r="92" spans="2:15" s="26" customFormat="1" ht="30">
      <c r="B92" s="18" t="s">
        <v>248</v>
      </c>
      <c r="C92" s="18" t="s">
        <v>64</v>
      </c>
      <c r="D92" s="75" t="s">
        <v>250</v>
      </c>
      <c r="E92" s="14">
        <v>882.1</v>
      </c>
      <c r="F92" s="14">
        <f>662.5+145.8</f>
        <v>808.3</v>
      </c>
      <c r="G92" s="14">
        <v>26.2</v>
      </c>
      <c r="H92" s="13">
        <f>L92+I92</f>
        <v>30</v>
      </c>
      <c r="I92" s="20"/>
      <c r="J92" s="20"/>
      <c r="K92" s="20"/>
      <c r="L92" s="20">
        <v>30</v>
      </c>
      <c r="M92" s="20">
        <v>30</v>
      </c>
      <c r="N92" s="20">
        <v>30</v>
      </c>
      <c r="O92" s="14">
        <f t="shared" si="2"/>
        <v>912.1</v>
      </c>
    </row>
    <row r="93" spans="2:15" s="26" customFormat="1">
      <c r="B93" s="18" t="s">
        <v>249</v>
      </c>
      <c r="C93" s="18" t="s">
        <v>64</v>
      </c>
      <c r="D93" s="75" t="s">
        <v>251</v>
      </c>
      <c r="E93" s="14">
        <f>1121+85</f>
        <v>1206</v>
      </c>
      <c r="F93" s="14">
        <f>254.1+55.9</f>
        <v>310</v>
      </c>
      <c r="G93" s="14"/>
      <c r="H93" s="20"/>
      <c r="I93" s="20"/>
      <c r="J93" s="20"/>
      <c r="K93" s="20"/>
      <c r="L93" s="20"/>
      <c r="M93" s="20"/>
      <c r="N93" s="20"/>
      <c r="O93" s="14">
        <f t="shared" si="2"/>
        <v>1206</v>
      </c>
    </row>
    <row r="94" spans="2:15" s="33" customFormat="1">
      <c r="B94" s="30" t="s">
        <v>65</v>
      </c>
      <c r="C94" s="30"/>
      <c r="D94" s="76" t="s">
        <v>19</v>
      </c>
      <c r="E94" s="12">
        <f>E95+E98+E100</f>
        <v>5416</v>
      </c>
      <c r="F94" s="12">
        <f>F95+F98+F100</f>
        <v>3658.7</v>
      </c>
      <c r="G94" s="12">
        <f>G95+G98+G100</f>
        <v>264.89999999999998</v>
      </c>
      <c r="H94" s="19">
        <f>L94+I94</f>
        <v>0</v>
      </c>
      <c r="I94" s="19">
        <f>I98</f>
        <v>0</v>
      </c>
      <c r="J94" s="19"/>
      <c r="K94" s="19"/>
      <c r="L94" s="19">
        <f>L98</f>
        <v>0</v>
      </c>
      <c r="M94" s="19">
        <f>M98</f>
        <v>0</v>
      </c>
      <c r="N94" s="19">
        <f>N98</f>
        <v>0</v>
      </c>
      <c r="O94" s="12">
        <f t="shared" si="2"/>
        <v>5416</v>
      </c>
    </row>
    <row r="95" spans="2:15">
      <c r="B95" s="21" t="s">
        <v>66</v>
      </c>
      <c r="C95" s="21"/>
      <c r="D95" s="77" t="s">
        <v>67</v>
      </c>
      <c r="E95" s="2">
        <f>E96+E97</f>
        <v>500</v>
      </c>
      <c r="F95" s="2"/>
      <c r="G95" s="2"/>
      <c r="H95" s="13"/>
      <c r="I95" s="13"/>
      <c r="J95" s="13"/>
      <c r="K95" s="13"/>
      <c r="L95" s="13"/>
      <c r="M95" s="13"/>
      <c r="N95" s="13"/>
      <c r="O95" s="2">
        <f t="shared" si="2"/>
        <v>500</v>
      </c>
    </row>
    <row r="96" spans="2:15" s="16" customFormat="1" ht="30">
      <c r="B96" s="18" t="s">
        <v>68</v>
      </c>
      <c r="C96" s="18" t="s">
        <v>69</v>
      </c>
      <c r="D96" s="75" t="s">
        <v>70</v>
      </c>
      <c r="E96" s="14">
        <v>300</v>
      </c>
      <c r="F96" s="14"/>
      <c r="G96" s="14"/>
      <c r="H96" s="20"/>
      <c r="I96" s="20"/>
      <c r="J96" s="20"/>
      <c r="K96" s="20"/>
      <c r="L96" s="20"/>
      <c r="M96" s="20"/>
      <c r="N96" s="20"/>
      <c r="O96" s="2">
        <f t="shared" si="2"/>
        <v>300</v>
      </c>
    </row>
    <row r="97" spans="1:17" s="16" customFormat="1" ht="30">
      <c r="B97" s="18" t="s">
        <v>120</v>
      </c>
      <c r="C97" s="18" t="s">
        <v>69</v>
      </c>
      <c r="D97" s="75" t="s">
        <v>121</v>
      </c>
      <c r="E97" s="14">
        <v>200</v>
      </c>
      <c r="F97" s="14"/>
      <c r="G97" s="14"/>
      <c r="H97" s="20"/>
      <c r="I97" s="20"/>
      <c r="J97" s="20"/>
      <c r="K97" s="20"/>
      <c r="L97" s="20"/>
      <c r="M97" s="20"/>
      <c r="N97" s="20"/>
      <c r="O97" s="14">
        <f>E97+H97</f>
        <v>200</v>
      </c>
    </row>
    <row r="98" spans="1:17" ht="19.5" customHeight="1">
      <c r="B98" s="21" t="s">
        <v>126</v>
      </c>
      <c r="C98" s="21"/>
      <c r="D98" s="22" t="s">
        <v>125</v>
      </c>
      <c r="E98" s="2">
        <f>E99</f>
        <v>4386.2</v>
      </c>
      <c r="F98" s="2">
        <f>F99</f>
        <v>3658.7</v>
      </c>
      <c r="G98" s="2">
        <f>G99</f>
        <v>264.89999999999998</v>
      </c>
      <c r="H98" s="13">
        <f>I98+L98</f>
        <v>0</v>
      </c>
      <c r="I98" s="13">
        <f>I99</f>
        <v>0</v>
      </c>
      <c r="J98" s="13"/>
      <c r="K98" s="13"/>
      <c r="L98" s="13">
        <f>L99</f>
        <v>0</v>
      </c>
      <c r="M98" s="13">
        <f>M99</f>
        <v>0</v>
      </c>
      <c r="N98" s="13">
        <f>N99</f>
        <v>0</v>
      </c>
      <c r="O98" s="2">
        <f>O99</f>
        <v>4386.2</v>
      </c>
    </row>
    <row r="99" spans="1:17" s="16" customFormat="1" ht="27.75" customHeight="1">
      <c r="B99" s="18" t="s">
        <v>127</v>
      </c>
      <c r="C99" s="18" t="s">
        <v>69</v>
      </c>
      <c r="D99" s="75" t="s">
        <v>130</v>
      </c>
      <c r="E99" s="14">
        <f>4326.2+60</f>
        <v>4386.2</v>
      </c>
      <c r="F99" s="14">
        <f>2998.9+659.8</f>
        <v>3658.7</v>
      </c>
      <c r="G99" s="14">
        <v>264.89999999999998</v>
      </c>
      <c r="H99" s="20">
        <f>I99+L99</f>
        <v>0</v>
      </c>
      <c r="I99" s="20"/>
      <c r="J99" s="20"/>
      <c r="K99" s="20"/>
      <c r="L99" s="20"/>
      <c r="M99" s="20"/>
      <c r="N99" s="20"/>
      <c r="O99" s="14">
        <f>E99+H99</f>
        <v>4386.2</v>
      </c>
    </row>
    <row r="100" spans="1:17">
      <c r="B100" s="21" t="s">
        <v>131</v>
      </c>
      <c r="C100" s="21"/>
      <c r="D100" s="77" t="s">
        <v>132</v>
      </c>
      <c r="E100" s="2">
        <f>E101</f>
        <v>529.79999999999995</v>
      </c>
      <c r="F100" s="2"/>
      <c r="G100" s="2"/>
      <c r="H100" s="13"/>
      <c r="I100" s="13"/>
      <c r="J100" s="13"/>
      <c r="K100" s="13"/>
      <c r="L100" s="13"/>
      <c r="M100" s="13"/>
      <c r="N100" s="13"/>
      <c r="O100" s="2">
        <f>E100+H100</f>
        <v>529.79999999999995</v>
      </c>
    </row>
    <row r="101" spans="1:17" ht="60">
      <c r="B101" s="18" t="s">
        <v>133</v>
      </c>
      <c r="C101" s="18" t="s">
        <v>69</v>
      </c>
      <c r="D101" s="78" t="s">
        <v>134</v>
      </c>
      <c r="E101" s="2">
        <v>529.79999999999995</v>
      </c>
      <c r="F101" s="2"/>
      <c r="G101" s="2"/>
      <c r="H101" s="13"/>
      <c r="I101" s="13"/>
      <c r="J101" s="13"/>
      <c r="K101" s="13"/>
      <c r="L101" s="13"/>
      <c r="M101" s="13"/>
      <c r="N101" s="13"/>
      <c r="O101" s="2">
        <f>E101</f>
        <v>529.79999999999995</v>
      </c>
    </row>
    <row r="102" spans="1:17">
      <c r="B102" s="30" t="s">
        <v>56</v>
      </c>
      <c r="C102" s="21"/>
      <c r="D102" s="31" t="s">
        <v>14</v>
      </c>
      <c r="E102" s="12">
        <f>E103+E110+E111</f>
        <v>46000.1</v>
      </c>
      <c r="F102" s="12">
        <f t="shared" ref="F102:N102" si="19">F103+F110+F111</f>
        <v>0</v>
      </c>
      <c r="G102" s="12">
        <f t="shared" si="19"/>
        <v>0</v>
      </c>
      <c r="H102" s="12">
        <f t="shared" si="19"/>
        <v>42671.798000000003</v>
      </c>
      <c r="I102" s="12">
        <f t="shared" si="19"/>
        <v>0</v>
      </c>
      <c r="J102" s="12">
        <f t="shared" si="19"/>
        <v>0</v>
      </c>
      <c r="K102" s="12">
        <f t="shared" si="19"/>
        <v>0</v>
      </c>
      <c r="L102" s="12">
        <f t="shared" si="19"/>
        <v>42671.798000000003</v>
      </c>
      <c r="M102" s="12">
        <f t="shared" si="19"/>
        <v>42671.798000000003</v>
      </c>
      <c r="N102" s="12">
        <f t="shared" si="19"/>
        <v>37671.798000000003</v>
      </c>
      <c r="O102" s="12">
        <f t="shared" si="2"/>
        <v>88671.898000000001</v>
      </c>
      <c r="Q102" s="49">
        <f>L102+L115+L119+L122</f>
        <v>116751.78198000001</v>
      </c>
    </row>
    <row r="103" spans="1:17" s="44" customFormat="1" ht="31.5">
      <c r="B103" s="63" t="s">
        <v>57</v>
      </c>
      <c r="C103" s="63"/>
      <c r="D103" s="15" t="s">
        <v>244</v>
      </c>
      <c r="E103" s="79">
        <f>E104+E105+E106+E107+E108+E109</f>
        <v>1431.4</v>
      </c>
      <c r="F103" s="79">
        <f t="shared" ref="F103:N103" si="20">F104+F105+F106+F107+F108+F109</f>
        <v>0</v>
      </c>
      <c r="G103" s="79">
        <f t="shared" si="20"/>
        <v>0</v>
      </c>
      <c r="H103" s="80">
        <f t="shared" si="20"/>
        <v>35956.394</v>
      </c>
      <c r="I103" s="80">
        <f t="shared" si="20"/>
        <v>0</v>
      </c>
      <c r="J103" s="80">
        <f t="shared" si="20"/>
        <v>0</v>
      </c>
      <c r="K103" s="80">
        <f t="shared" si="20"/>
        <v>0</v>
      </c>
      <c r="L103" s="80">
        <f t="shared" si="20"/>
        <v>35956.394</v>
      </c>
      <c r="M103" s="80">
        <f t="shared" si="20"/>
        <v>35956.394</v>
      </c>
      <c r="N103" s="80">
        <f t="shared" si="20"/>
        <v>30956.394</v>
      </c>
      <c r="O103" s="79">
        <f>E103+H103</f>
        <v>37387.794000000002</v>
      </c>
      <c r="P103" s="47"/>
      <c r="Q103" s="47"/>
    </row>
    <row r="104" spans="1:17" ht="31.5">
      <c r="A104" s="26">
        <v>200</v>
      </c>
      <c r="B104" s="18" t="s">
        <v>183</v>
      </c>
      <c r="C104" s="18" t="s">
        <v>59</v>
      </c>
      <c r="D104" s="17" t="s">
        <v>245</v>
      </c>
      <c r="E104" s="14">
        <f>200</f>
        <v>200</v>
      </c>
      <c r="F104" s="14"/>
      <c r="G104" s="14"/>
      <c r="H104" s="20">
        <f>L104+I104</f>
        <v>16704</v>
      </c>
      <c r="I104" s="20"/>
      <c r="J104" s="20"/>
      <c r="K104" s="20"/>
      <c r="L104" s="20">
        <f>2000+9000+5704</f>
        <v>16704</v>
      </c>
      <c r="M104" s="20">
        <f>2000+9000+5704</f>
        <v>16704</v>
      </c>
      <c r="N104" s="20">
        <f>1000+9000+5704</f>
        <v>15704</v>
      </c>
      <c r="O104" s="14">
        <f>E104+H104</f>
        <v>16904</v>
      </c>
    </row>
    <row r="105" spans="1:17" ht="49.5" customHeight="1">
      <c r="A105" s="26"/>
      <c r="B105" s="18" t="s">
        <v>187</v>
      </c>
      <c r="C105" s="18" t="s">
        <v>59</v>
      </c>
      <c r="D105" s="51" t="s">
        <v>186</v>
      </c>
      <c r="E105" s="14"/>
      <c r="F105" s="14"/>
      <c r="G105" s="14"/>
      <c r="H105" s="20">
        <f t="shared" ref="H105:H109" si="21">L105+I105</f>
        <v>4000</v>
      </c>
      <c r="I105" s="20"/>
      <c r="J105" s="20"/>
      <c r="K105" s="20"/>
      <c r="L105" s="20">
        <v>4000</v>
      </c>
      <c r="M105" s="20">
        <v>4000</v>
      </c>
      <c r="N105" s="20">
        <v>4000</v>
      </c>
      <c r="O105" s="14">
        <f t="shared" ref="O105:O111" si="22">E105+H105</f>
        <v>4000</v>
      </c>
    </row>
    <row r="106" spans="1:17" ht="31.5">
      <c r="A106" s="26">
        <v>531.4</v>
      </c>
      <c r="B106" s="18" t="s">
        <v>184</v>
      </c>
      <c r="C106" s="18" t="s">
        <v>59</v>
      </c>
      <c r="D106" s="17" t="s">
        <v>185</v>
      </c>
      <c r="E106" s="14">
        <v>531.4</v>
      </c>
      <c r="F106" s="14"/>
      <c r="G106" s="14"/>
      <c r="H106" s="20">
        <f t="shared" si="21"/>
        <v>4363.3</v>
      </c>
      <c r="I106" s="20"/>
      <c r="J106" s="20"/>
      <c r="K106" s="20"/>
      <c r="L106" s="20">
        <f>4000+363.3</f>
        <v>4363.3</v>
      </c>
      <c r="M106" s="20">
        <f>4000+363.3</f>
        <v>4363.3</v>
      </c>
      <c r="N106" s="20">
        <f>363.3</f>
        <v>363.3</v>
      </c>
      <c r="O106" s="14">
        <f t="shared" si="22"/>
        <v>4894.7</v>
      </c>
    </row>
    <row r="107" spans="1:17" ht="31.5">
      <c r="A107" s="26">
        <v>500</v>
      </c>
      <c r="B107" s="18" t="s">
        <v>218</v>
      </c>
      <c r="C107" s="18" t="s">
        <v>59</v>
      </c>
      <c r="D107" s="17" t="s">
        <v>219</v>
      </c>
      <c r="E107" s="14">
        <v>500</v>
      </c>
      <c r="F107" s="14"/>
      <c r="G107" s="14"/>
      <c r="H107" s="20">
        <f t="shared" si="21"/>
        <v>8850</v>
      </c>
      <c r="I107" s="20"/>
      <c r="J107" s="20"/>
      <c r="K107" s="20"/>
      <c r="L107" s="20">
        <f>5000+3850</f>
        <v>8850</v>
      </c>
      <c r="M107" s="20">
        <f>5000+3850</f>
        <v>8850</v>
      </c>
      <c r="N107" s="20">
        <f>5000+3850</f>
        <v>8850</v>
      </c>
      <c r="O107" s="14">
        <f t="shared" si="22"/>
        <v>9350</v>
      </c>
    </row>
    <row r="108" spans="1:17" s="55" customFormat="1" ht="47.25">
      <c r="A108" s="116">
        <v>500</v>
      </c>
      <c r="B108" s="18" t="s">
        <v>284</v>
      </c>
      <c r="C108" s="18" t="s">
        <v>59</v>
      </c>
      <c r="D108" s="17" t="s">
        <v>285</v>
      </c>
      <c r="E108" s="103"/>
      <c r="F108" s="103"/>
      <c r="G108" s="103"/>
      <c r="H108" s="103">
        <f t="shared" si="21"/>
        <v>81.093999999999994</v>
      </c>
      <c r="I108" s="103"/>
      <c r="J108" s="103"/>
      <c r="K108" s="103"/>
      <c r="L108" s="103">
        <v>81.093999999999994</v>
      </c>
      <c r="M108" s="103">
        <v>81.093999999999994</v>
      </c>
      <c r="N108" s="103">
        <v>81.093999999999994</v>
      </c>
      <c r="O108" s="103">
        <f t="shared" si="22"/>
        <v>81.093999999999994</v>
      </c>
    </row>
    <row r="109" spans="1:17" s="55" customFormat="1" ht="46.5" customHeight="1">
      <c r="A109" s="116">
        <v>500</v>
      </c>
      <c r="B109" s="18" t="s">
        <v>286</v>
      </c>
      <c r="C109" s="18" t="s">
        <v>59</v>
      </c>
      <c r="D109" s="17" t="s">
        <v>287</v>
      </c>
      <c r="E109" s="103">
        <v>200</v>
      </c>
      <c r="F109" s="103"/>
      <c r="G109" s="103"/>
      <c r="H109" s="103">
        <f t="shared" si="21"/>
        <v>1958</v>
      </c>
      <c r="I109" s="103"/>
      <c r="J109" s="103"/>
      <c r="K109" s="103"/>
      <c r="L109" s="103">
        <f>458+1500</f>
        <v>1958</v>
      </c>
      <c r="M109" s="103">
        <f>458+1500</f>
        <v>1958</v>
      </c>
      <c r="N109" s="103">
        <f>458+1500</f>
        <v>1958</v>
      </c>
      <c r="O109" s="103">
        <f t="shared" si="22"/>
        <v>2158</v>
      </c>
    </row>
    <row r="110" spans="1:17" s="44" customFormat="1" ht="15.75">
      <c r="A110" s="44">
        <f>12448.8+1200+7446.5+300+10705.4+9+860+200+1000+6300-661.2</f>
        <v>39808.5</v>
      </c>
      <c r="B110" s="63" t="s">
        <v>58</v>
      </c>
      <c r="C110" s="63" t="s">
        <v>59</v>
      </c>
      <c r="D110" s="81" t="s">
        <v>175</v>
      </c>
      <c r="E110" s="43">
        <f>39808.5+1030+1420+299+311.2+1500+200</f>
        <v>44568.7</v>
      </c>
      <c r="F110" s="43"/>
      <c r="G110" s="43"/>
      <c r="H110" s="82">
        <f>L110</f>
        <v>6515.4040000000005</v>
      </c>
      <c r="I110" s="82"/>
      <c r="J110" s="82"/>
      <c r="K110" s="82"/>
      <c r="L110" s="82">
        <f>1900+1000+3610+70-500+435.404</f>
        <v>6515.4040000000005</v>
      </c>
      <c r="M110" s="82">
        <f>6580-500+435.404</f>
        <v>6515.4040000000005</v>
      </c>
      <c r="N110" s="82">
        <f>6580-500+435.404</f>
        <v>6515.4040000000005</v>
      </c>
      <c r="O110" s="79">
        <f t="shared" si="22"/>
        <v>51084.103999999999</v>
      </c>
    </row>
    <row r="111" spans="1:17" ht="31.5">
      <c r="A111" s="1">
        <v>490</v>
      </c>
      <c r="B111" s="21" t="s">
        <v>229</v>
      </c>
      <c r="C111" s="21" t="s">
        <v>220</v>
      </c>
      <c r="D111" s="42" t="s">
        <v>230</v>
      </c>
      <c r="E111" s="2"/>
      <c r="F111" s="2"/>
      <c r="G111" s="2"/>
      <c r="H111" s="13">
        <f>I111+L111</f>
        <v>200</v>
      </c>
      <c r="I111" s="13"/>
      <c r="J111" s="13"/>
      <c r="K111" s="13"/>
      <c r="L111" s="13">
        <v>200</v>
      </c>
      <c r="M111" s="13">
        <v>200</v>
      </c>
      <c r="N111" s="13">
        <v>200</v>
      </c>
      <c r="O111" s="2">
        <f t="shared" si="22"/>
        <v>200</v>
      </c>
    </row>
    <row r="112" spans="1:17" s="27" customFormat="1" ht="25.5" customHeight="1">
      <c r="B112" s="30" t="s">
        <v>171</v>
      </c>
      <c r="C112" s="21"/>
      <c r="D112" s="31" t="s">
        <v>172</v>
      </c>
      <c r="E112" s="12">
        <f>E113+E115+E119+E122</f>
        <v>20563.099999999999</v>
      </c>
      <c r="F112" s="12"/>
      <c r="G112" s="12"/>
      <c r="H112" s="40">
        <f>I112+L112</f>
        <v>74579.983980000005</v>
      </c>
      <c r="I112" s="19">
        <f>I113+I115+I119+I122</f>
        <v>0</v>
      </c>
      <c r="J112" s="19">
        <f t="shared" ref="J112:M112" si="23">J113+J115+J119+J122</f>
        <v>0</v>
      </c>
      <c r="K112" s="19">
        <f t="shared" si="23"/>
        <v>0</v>
      </c>
      <c r="L112" s="19">
        <f t="shared" si="23"/>
        <v>74579.983980000005</v>
      </c>
      <c r="M112" s="19">
        <f t="shared" si="23"/>
        <v>63396.5</v>
      </c>
      <c r="N112" s="19">
        <f>N113+N115+N119+N122</f>
        <v>62396.5</v>
      </c>
      <c r="O112" s="35">
        <f>E112+H112</f>
        <v>95143.083979999996</v>
      </c>
    </row>
    <row r="113" spans="1:15" s="33" customFormat="1" ht="29.25">
      <c r="B113" s="30" t="s">
        <v>169</v>
      </c>
      <c r="C113" s="30"/>
      <c r="D113" s="74" t="s">
        <v>276</v>
      </c>
      <c r="E113" s="35">
        <f>E114</f>
        <v>0</v>
      </c>
      <c r="F113" s="35"/>
      <c r="G113" s="35"/>
      <c r="H113" s="40">
        <f t="shared" ref="H113:H114" si="24">I113+L113</f>
        <v>500</v>
      </c>
      <c r="I113" s="40">
        <f>I114</f>
        <v>0</v>
      </c>
      <c r="J113" s="40">
        <f t="shared" ref="J113:N113" si="25">J114</f>
        <v>0</v>
      </c>
      <c r="K113" s="40">
        <f t="shared" si="25"/>
        <v>0</v>
      </c>
      <c r="L113" s="40">
        <f t="shared" si="25"/>
        <v>500</v>
      </c>
      <c r="M113" s="40">
        <f t="shared" si="25"/>
        <v>500</v>
      </c>
      <c r="N113" s="40">
        <f t="shared" si="25"/>
        <v>500</v>
      </c>
      <c r="O113" s="35">
        <f t="shared" ref="O113:O114" si="26">E113+H113</f>
        <v>500</v>
      </c>
    </row>
    <row r="114" spans="1:15" s="16" customFormat="1">
      <c r="B114" s="21" t="s">
        <v>191</v>
      </c>
      <c r="C114" s="21" t="s">
        <v>135</v>
      </c>
      <c r="D114" s="70" t="s">
        <v>170</v>
      </c>
      <c r="E114" s="24"/>
      <c r="F114" s="24"/>
      <c r="G114" s="24"/>
      <c r="H114" s="25">
        <f t="shared" si="24"/>
        <v>500</v>
      </c>
      <c r="I114" s="25"/>
      <c r="J114" s="25"/>
      <c r="K114" s="25"/>
      <c r="L114" s="25">
        <f>300+200</f>
        <v>500</v>
      </c>
      <c r="M114" s="25">
        <f>300+200</f>
        <v>500</v>
      </c>
      <c r="N114" s="25">
        <f>300+200</f>
        <v>500</v>
      </c>
      <c r="O114" s="24">
        <f t="shared" si="26"/>
        <v>500</v>
      </c>
    </row>
    <row r="115" spans="1:15">
      <c r="B115" s="30" t="s">
        <v>136</v>
      </c>
      <c r="C115" s="21"/>
      <c r="D115" s="31" t="s">
        <v>173</v>
      </c>
      <c r="E115" s="12">
        <f>E116+E117+E118</f>
        <v>1240</v>
      </c>
      <c r="F115" s="12"/>
      <c r="G115" s="12"/>
      <c r="H115" s="19">
        <f>I115+L115</f>
        <v>41001.9</v>
      </c>
      <c r="I115" s="19">
        <f t="shared" ref="I115:K115" si="27">I118</f>
        <v>0</v>
      </c>
      <c r="J115" s="19">
        <f t="shared" si="27"/>
        <v>0</v>
      </c>
      <c r="K115" s="19">
        <f t="shared" si="27"/>
        <v>0</v>
      </c>
      <c r="L115" s="19">
        <f>L116+L117+L118</f>
        <v>41001.9</v>
      </c>
      <c r="M115" s="19">
        <f t="shared" ref="M115:N115" si="28">M116+M117+M118</f>
        <v>41001.9</v>
      </c>
      <c r="N115" s="19">
        <f t="shared" si="28"/>
        <v>41001.9</v>
      </c>
      <c r="O115" s="12">
        <f>E115+H115</f>
        <v>42241.9</v>
      </c>
    </row>
    <row r="116" spans="1:15" ht="30">
      <c r="B116" s="21" t="s">
        <v>137</v>
      </c>
      <c r="C116" s="21" t="s">
        <v>72</v>
      </c>
      <c r="D116" s="48" t="s">
        <v>174</v>
      </c>
      <c r="E116" s="2">
        <v>0</v>
      </c>
      <c r="F116" s="2"/>
      <c r="G116" s="2"/>
      <c r="H116" s="13">
        <f>L116</f>
        <v>0</v>
      </c>
      <c r="I116" s="13"/>
      <c r="J116" s="13"/>
      <c r="K116" s="13"/>
      <c r="L116" s="13"/>
      <c r="M116" s="13"/>
      <c r="N116" s="13"/>
      <c r="O116" s="2">
        <f>E116+H116</f>
        <v>0</v>
      </c>
    </row>
    <row r="117" spans="1:15" ht="31.5">
      <c r="B117" s="21" t="s">
        <v>228</v>
      </c>
      <c r="C117" s="21" t="s">
        <v>72</v>
      </c>
      <c r="D117" s="42" t="s">
        <v>275</v>
      </c>
      <c r="E117" s="2">
        <f>490+750</f>
        <v>1240</v>
      </c>
      <c r="F117" s="2"/>
      <c r="G117" s="2"/>
      <c r="H117" s="13">
        <f>L117</f>
        <v>9.4</v>
      </c>
      <c r="I117" s="13"/>
      <c r="J117" s="13"/>
      <c r="K117" s="13"/>
      <c r="L117" s="13">
        <f>9.4</f>
        <v>9.4</v>
      </c>
      <c r="M117" s="13">
        <f>9.4</f>
        <v>9.4</v>
      </c>
      <c r="N117" s="13">
        <f>9.4</f>
        <v>9.4</v>
      </c>
      <c r="O117" s="2">
        <f t="shared" ref="O117:O145" si="29">E117+H117</f>
        <v>1249.4000000000001</v>
      </c>
    </row>
    <row r="118" spans="1:15" s="26" customFormat="1" ht="31.5">
      <c r="B118" s="21" t="s">
        <v>252</v>
      </c>
      <c r="C118" s="21" t="s">
        <v>71</v>
      </c>
      <c r="D118" s="39" t="s">
        <v>192</v>
      </c>
      <c r="E118" s="24"/>
      <c r="F118" s="24"/>
      <c r="G118" s="24"/>
      <c r="H118" s="13">
        <f>L118</f>
        <v>40992.5</v>
      </c>
      <c r="I118" s="25"/>
      <c r="J118" s="25"/>
      <c r="K118" s="25"/>
      <c r="L118" s="13">
        <f>100+10000+10000+5000+1490+10000+500+3902.5</f>
        <v>40992.5</v>
      </c>
      <c r="M118" s="13">
        <f>100+10000+10000+5000+1490+10000+500+3902.5</f>
        <v>40992.5</v>
      </c>
      <c r="N118" s="13">
        <f>100+10000+10000+5000+1490+10000+500+3902.5</f>
        <v>40992.5</v>
      </c>
      <c r="O118" s="2">
        <f t="shared" si="29"/>
        <v>40992.5</v>
      </c>
    </row>
    <row r="119" spans="1:15" ht="29.25">
      <c r="B119" s="30" t="s">
        <v>77</v>
      </c>
      <c r="C119" s="21"/>
      <c r="D119" s="31" t="s">
        <v>163</v>
      </c>
      <c r="E119" s="12">
        <f>E120</f>
        <v>14752.4</v>
      </c>
      <c r="F119" s="12"/>
      <c r="G119" s="12"/>
      <c r="H119" s="19">
        <f t="shared" ref="H119:N119" si="30">H121</f>
        <v>20894.599999999999</v>
      </c>
      <c r="I119" s="19">
        <f t="shared" si="30"/>
        <v>0</v>
      </c>
      <c r="J119" s="19">
        <f t="shared" si="30"/>
        <v>0</v>
      </c>
      <c r="K119" s="19">
        <f t="shared" si="30"/>
        <v>0</v>
      </c>
      <c r="L119" s="19">
        <f t="shared" si="30"/>
        <v>20894.599999999999</v>
      </c>
      <c r="M119" s="19">
        <f t="shared" si="30"/>
        <v>20894.599999999999</v>
      </c>
      <c r="N119" s="19">
        <f t="shared" si="30"/>
        <v>20894.599999999999</v>
      </c>
      <c r="O119" s="12">
        <f t="shared" si="29"/>
        <v>35647</v>
      </c>
    </row>
    <row r="120" spans="1:15" ht="30">
      <c r="B120" s="21" t="s">
        <v>164</v>
      </c>
      <c r="C120" s="21"/>
      <c r="D120" s="48" t="s">
        <v>165</v>
      </c>
      <c r="E120" s="2">
        <f>E121</f>
        <v>14752.4</v>
      </c>
      <c r="F120" s="2"/>
      <c r="G120" s="2"/>
      <c r="H120" s="13">
        <f>I120+L120</f>
        <v>20894.599999999999</v>
      </c>
      <c r="I120" s="2">
        <f t="shared" ref="I120:N120" si="31">I121</f>
        <v>0</v>
      </c>
      <c r="J120" s="2">
        <f t="shared" si="31"/>
        <v>0</v>
      </c>
      <c r="K120" s="2">
        <f t="shared" si="31"/>
        <v>0</v>
      </c>
      <c r="L120" s="2">
        <f t="shared" si="31"/>
        <v>20894.599999999999</v>
      </c>
      <c r="M120" s="2">
        <f t="shared" si="31"/>
        <v>20894.599999999999</v>
      </c>
      <c r="N120" s="2">
        <f t="shared" si="31"/>
        <v>20894.599999999999</v>
      </c>
      <c r="O120" s="29">
        <f t="shared" si="29"/>
        <v>35647</v>
      </c>
    </row>
    <row r="121" spans="1:15" s="26" customFormat="1" ht="47.25">
      <c r="A121" s="26">
        <f>12000+2000</f>
        <v>14000</v>
      </c>
      <c r="B121" s="18" t="s">
        <v>167</v>
      </c>
      <c r="C121" s="18" t="s">
        <v>75</v>
      </c>
      <c r="D121" s="17" t="s">
        <v>166</v>
      </c>
      <c r="E121" s="24">
        <f>14000+752.4</f>
        <v>14752.4</v>
      </c>
      <c r="F121" s="24"/>
      <c r="G121" s="24"/>
      <c r="H121" s="25">
        <f>I121+L121</f>
        <v>20894.599999999999</v>
      </c>
      <c r="I121" s="25"/>
      <c r="J121" s="25"/>
      <c r="K121" s="25"/>
      <c r="L121" s="25">
        <f>19500+1394.6</f>
        <v>20894.599999999999</v>
      </c>
      <c r="M121" s="25">
        <f>19500+1394.6</f>
        <v>20894.599999999999</v>
      </c>
      <c r="N121" s="25">
        <f>19500+1394.6</f>
        <v>20894.599999999999</v>
      </c>
      <c r="O121" s="24">
        <f t="shared" si="29"/>
        <v>35647</v>
      </c>
    </row>
    <row r="122" spans="1:15" ht="31.5">
      <c r="B122" s="30" t="s">
        <v>193</v>
      </c>
      <c r="C122" s="18"/>
      <c r="D122" s="53" t="s">
        <v>194</v>
      </c>
      <c r="E122" s="12">
        <f>E123+E124+E125+E126+E127+E128</f>
        <v>4570.7</v>
      </c>
      <c r="F122" s="12">
        <f t="shared" ref="F122:N122" si="32">F123+F124+F125+F126+F127+F128</f>
        <v>0</v>
      </c>
      <c r="G122" s="12">
        <f t="shared" si="32"/>
        <v>0</v>
      </c>
      <c r="H122" s="19">
        <f t="shared" si="32"/>
        <v>12183.483980000001</v>
      </c>
      <c r="I122" s="19">
        <f t="shared" si="32"/>
        <v>0</v>
      </c>
      <c r="J122" s="19">
        <f t="shared" si="32"/>
        <v>0</v>
      </c>
      <c r="K122" s="19">
        <f t="shared" si="32"/>
        <v>0</v>
      </c>
      <c r="L122" s="19">
        <f t="shared" si="32"/>
        <v>12183.483980000001</v>
      </c>
      <c r="M122" s="19">
        <f t="shared" si="32"/>
        <v>1000</v>
      </c>
      <c r="N122" s="19">
        <f t="shared" si="32"/>
        <v>0</v>
      </c>
      <c r="O122" s="35">
        <f t="shared" si="29"/>
        <v>16754.183980000002</v>
      </c>
    </row>
    <row r="123" spans="1:15" ht="31.5">
      <c r="B123" s="21" t="s">
        <v>211</v>
      </c>
      <c r="C123" s="21" t="s">
        <v>212</v>
      </c>
      <c r="D123" s="39" t="s">
        <v>213</v>
      </c>
      <c r="E123" s="2">
        <f>300+500</f>
        <v>800</v>
      </c>
      <c r="F123" s="2"/>
      <c r="G123" s="2"/>
      <c r="H123" s="13"/>
      <c r="I123" s="13"/>
      <c r="J123" s="13"/>
      <c r="K123" s="13"/>
      <c r="L123" s="13"/>
      <c r="M123" s="13"/>
      <c r="N123" s="13"/>
      <c r="O123" s="2">
        <f t="shared" si="29"/>
        <v>800</v>
      </c>
    </row>
    <row r="124" spans="1:15" ht="15.75">
      <c r="B124" s="21" t="s">
        <v>195</v>
      </c>
      <c r="C124" s="21" t="s">
        <v>78</v>
      </c>
      <c r="D124" s="15" t="s">
        <v>79</v>
      </c>
      <c r="E124" s="2">
        <v>200</v>
      </c>
      <c r="F124" s="2"/>
      <c r="G124" s="2"/>
      <c r="H124" s="13">
        <f>L124+I124</f>
        <v>1000</v>
      </c>
      <c r="I124" s="13"/>
      <c r="J124" s="13"/>
      <c r="K124" s="13"/>
      <c r="L124" s="13">
        <v>1000</v>
      </c>
      <c r="M124" s="13">
        <v>1000</v>
      </c>
      <c r="N124" s="13"/>
      <c r="O124" s="2">
        <f t="shared" si="29"/>
        <v>1200</v>
      </c>
    </row>
    <row r="125" spans="1:15" ht="31.5">
      <c r="B125" s="21" t="s">
        <v>201</v>
      </c>
      <c r="C125" s="21" t="s">
        <v>71</v>
      </c>
      <c r="D125" s="15" t="s">
        <v>202</v>
      </c>
      <c r="E125" s="2">
        <v>189</v>
      </c>
      <c r="F125" s="2"/>
      <c r="G125" s="2"/>
      <c r="H125" s="13"/>
      <c r="I125" s="13"/>
      <c r="J125" s="13"/>
      <c r="K125" s="13"/>
      <c r="L125" s="13"/>
      <c r="M125" s="13"/>
      <c r="N125" s="13"/>
      <c r="O125" s="2">
        <f t="shared" si="29"/>
        <v>189</v>
      </c>
    </row>
    <row r="126" spans="1:15" ht="31.5">
      <c r="B126" s="21" t="s">
        <v>196</v>
      </c>
      <c r="C126" s="21" t="s">
        <v>71</v>
      </c>
      <c r="D126" s="42" t="s">
        <v>197</v>
      </c>
      <c r="E126" s="2"/>
      <c r="F126" s="2"/>
      <c r="G126" s="2"/>
      <c r="H126" s="13"/>
      <c r="I126" s="13"/>
      <c r="J126" s="13"/>
      <c r="K126" s="13"/>
      <c r="L126" s="13"/>
      <c r="M126" s="13"/>
      <c r="N126" s="13"/>
      <c r="O126" s="2">
        <f>E126+H126</f>
        <v>0</v>
      </c>
    </row>
    <row r="127" spans="1:15" ht="31.5">
      <c r="B127" s="21" t="s">
        <v>208</v>
      </c>
      <c r="C127" s="21" t="s">
        <v>71</v>
      </c>
      <c r="D127" s="42" t="s">
        <v>209</v>
      </c>
      <c r="E127" s="2">
        <v>40</v>
      </c>
      <c r="F127" s="2"/>
      <c r="G127" s="2"/>
      <c r="H127" s="13"/>
      <c r="I127" s="13"/>
      <c r="J127" s="13"/>
      <c r="K127" s="13"/>
      <c r="L127" s="13"/>
      <c r="M127" s="13"/>
      <c r="N127" s="13"/>
      <c r="O127" s="2">
        <f t="shared" si="29"/>
        <v>40</v>
      </c>
    </row>
    <row r="128" spans="1:15" ht="15.75">
      <c r="B128" s="21" t="s">
        <v>221</v>
      </c>
      <c r="C128" s="21"/>
      <c r="D128" s="42" t="s">
        <v>222</v>
      </c>
      <c r="E128" s="2">
        <f>E129+E130</f>
        <v>3341.7</v>
      </c>
      <c r="F128" s="2">
        <f t="shared" ref="F128:N128" si="33">F129+F130</f>
        <v>0</v>
      </c>
      <c r="G128" s="2">
        <f t="shared" si="33"/>
        <v>0</v>
      </c>
      <c r="H128" s="2">
        <f t="shared" si="33"/>
        <v>11183.483980000001</v>
      </c>
      <c r="I128" s="2">
        <f t="shared" si="33"/>
        <v>0</v>
      </c>
      <c r="J128" s="2">
        <f t="shared" si="33"/>
        <v>0</v>
      </c>
      <c r="K128" s="2">
        <f t="shared" si="33"/>
        <v>0</v>
      </c>
      <c r="L128" s="2">
        <f t="shared" si="33"/>
        <v>11183.483980000001</v>
      </c>
      <c r="M128" s="2">
        <f t="shared" si="33"/>
        <v>0</v>
      </c>
      <c r="N128" s="2">
        <f t="shared" si="33"/>
        <v>0</v>
      </c>
      <c r="O128" s="29">
        <f t="shared" si="29"/>
        <v>14525.183980000002</v>
      </c>
    </row>
    <row r="129" spans="2:15" s="116" customFormat="1" ht="126">
      <c r="B129" s="18" t="s">
        <v>301</v>
      </c>
      <c r="C129" s="18" t="s">
        <v>71</v>
      </c>
      <c r="D129" s="59" t="s">
        <v>302</v>
      </c>
      <c r="E129" s="103"/>
      <c r="F129" s="103"/>
      <c r="G129" s="103"/>
      <c r="H129" s="103">
        <f>I129+L129</f>
        <v>11183.483980000001</v>
      </c>
      <c r="I129" s="103"/>
      <c r="J129" s="103"/>
      <c r="K129" s="103"/>
      <c r="L129" s="103">
        <v>11183.483980000001</v>
      </c>
      <c r="M129" s="103"/>
      <c r="N129" s="103"/>
      <c r="O129" s="102">
        <f t="shared" si="29"/>
        <v>11183.483980000001</v>
      </c>
    </row>
    <row r="130" spans="2:15" s="132" customFormat="1" ht="31.5">
      <c r="B130" s="129" t="s">
        <v>253</v>
      </c>
      <c r="C130" s="129" t="s">
        <v>71</v>
      </c>
      <c r="D130" s="51" t="s">
        <v>277</v>
      </c>
      <c r="E130" s="130">
        <v>3341.7</v>
      </c>
      <c r="F130" s="130"/>
      <c r="G130" s="130"/>
      <c r="H130" s="131">
        <f>I130+L130</f>
        <v>0</v>
      </c>
      <c r="I130" s="131">
        <v>0</v>
      </c>
      <c r="J130" s="131"/>
      <c r="K130" s="131"/>
      <c r="L130" s="131"/>
      <c r="M130" s="131"/>
      <c r="N130" s="131"/>
      <c r="O130" s="130">
        <f t="shared" si="29"/>
        <v>3341.7</v>
      </c>
    </row>
    <row r="131" spans="2:15" s="84" customFormat="1" ht="15.75">
      <c r="B131" s="62" t="s">
        <v>83</v>
      </c>
      <c r="C131" s="62"/>
      <c r="D131" s="34" t="s">
        <v>168</v>
      </c>
      <c r="E131" s="60">
        <f>E132+E138+E140+E134</f>
        <v>9049.5</v>
      </c>
      <c r="F131" s="60"/>
      <c r="G131" s="60"/>
      <c r="H131" s="61">
        <f>I131+L131</f>
        <v>15579.3</v>
      </c>
      <c r="I131" s="60">
        <f t="shared" ref="I131:N131" si="34">I138+I140+I134</f>
        <v>579.29999999999995</v>
      </c>
      <c r="J131" s="60">
        <f t="shared" si="34"/>
        <v>0</v>
      </c>
      <c r="K131" s="60">
        <f t="shared" si="34"/>
        <v>0</v>
      </c>
      <c r="L131" s="60">
        <f t="shared" si="34"/>
        <v>15000</v>
      </c>
      <c r="M131" s="60">
        <f t="shared" si="34"/>
        <v>15000</v>
      </c>
      <c r="N131" s="60">
        <f t="shared" si="34"/>
        <v>15000</v>
      </c>
      <c r="O131" s="60">
        <f>H131+E131</f>
        <v>24628.799999999999</v>
      </c>
    </row>
    <row r="132" spans="2:15" s="84" customFormat="1" ht="47.25">
      <c r="B132" s="62" t="s">
        <v>241</v>
      </c>
      <c r="C132" s="62"/>
      <c r="D132" s="34" t="s">
        <v>240</v>
      </c>
      <c r="E132" s="60">
        <f>E133</f>
        <v>237.5</v>
      </c>
      <c r="F132" s="60"/>
      <c r="G132" s="60"/>
      <c r="H132" s="61"/>
      <c r="I132" s="60"/>
      <c r="J132" s="60"/>
      <c r="K132" s="60"/>
      <c r="L132" s="60"/>
      <c r="M132" s="60"/>
      <c r="N132" s="60"/>
      <c r="O132" s="60">
        <f t="shared" ref="O132:O133" si="35">H132+E132</f>
        <v>237.5</v>
      </c>
    </row>
    <row r="133" spans="2:15" s="44" customFormat="1" ht="47.25">
      <c r="B133" s="63" t="s">
        <v>242</v>
      </c>
      <c r="C133" s="63" t="s">
        <v>243</v>
      </c>
      <c r="D133" s="15" t="s">
        <v>254</v>
      </c>
      <c r="E133" s="79">
        <v>237.5</v>
      </c>
      <c r="F133" s="79"/>
      <c r="G133" s="79"/>
      <c r="H133" s="80"/>
      <c r="I133" s="79"/>
      <c r="J133" s="79"/>
      <c r="K133" s="79"/>
      <c r="L133" s="79"/>
      <c r="M133" s="79"/>
      <c r="N133" s="79"/>
      <c r="O133" s="79">
        <f t="shared" si="35"/>
        <v>237.5</v>
      </c>
    </row>
    <row r="134" spans="2:15" s="44" customFormat="1" ht="31.5">
      <c r="B134" s="62" t="s">
        <v>198</v>
      </c>
      <c r="C134" s="63"/>
      <c r="D134" s="34" t="s">
        <v>199</v>
      </c>
      <c r="E134" s="85"/>
      <c r="F134" s="85"/>
      <c r="G134" s="85"/>
      <c r="H134" s="85">
        <f>I134+M134</f>
        <v>15579.3</v>
      </c>
      <c r="I134" s="85">
        <f>I137+I135</f>
        <v>579.29999999999995</v>
      </c>
      <c r="J134" s="85"/>
      <c r="K134" s="85"/>
      <c r="L134" s="85">
        <f>L137+L135</f>
        <v>15000</v>
      </c>
      <c r="M134" s="85">
        <f>M137+M135</f>
        <v>15000</v>
      </c>
      <c r="N134" s="85">
        <f>N137+N135</f>
        <v>15000</v>
      </c>
      <c r="O134" s="41">
        <f t="shared" si="29"/>
        <v>15579.3</v>
      </c>
    </row>
    <row r="135" spans="2:15" s="44" customFormat="1" ht="31.5">
      <c r="B135" s="63" t="s">
        <v>214</v>
      </c>
      <c r="C135" s="63"/>
      <c r="D135" s="42" t="s">
        <v>215</v>
      </c>
      <c r="E135" s="82"/>
      <c r="F135" s="82"/>
      <c r="G135" s="82"/>
      <c r="H135" s="82">
        <f>I135+M135</f>
        <v>15000</v>
      </c>
      <c r="I135" s="82"/>
      <c r="J135" s="82"/>
      <c r="K135" s="82"/>
      <c r="L135" s="82">
        <f>L136</f>
        <v>15000</v>
      </c>
      <c r="M135" s="82">
        <f>M136</f>
        <v>15000</v>
      </c>
      <c r="N135" s="82">
        <f>N136</f>
        <v>15000</v>
      </c>
      <c r="O135" s="43">
        <f t="shared" si="29"/>
        <v>15000</v>
      </c>
    </row>
    <row r="136" spans="2:15" s="26" customFormat="1" ht="31.5">
      <c r="B136" s="18" t="s">
        <v>223</v>
      </c>
      <c r="C136" s="18" t="s">
        <v>224</v>
      </c>
      <c r="D136" s="59" t="s">
        <v>225</v>
      </c>
      <c r="E136" s="25"/>
      <c r="F136" s="25"/>
      <c r="G136" s="25"/>
      <c r="H136" s="25">
        <f>I136+M136</f>
        <v>15000</v>
      </c>
      <c r="I136" s="25"/>
      <c r="J136" s="25"/>
      <c r="K136" s="25"/>
      <c r="L136" s="25">
        <v>15000</v>
      </c>
      <c r="M136" s="25">
        <v>15000</v>
      </c>
      <c r="N136" s="25">
        <v>15000</v>
      </c>
      <c r="O136" s="83">
        <f t="shared" si="29"/>
        <v>15000</v>
      </c>
    </row>
    <row r="137" spans="2:15" ht="31.5">
      <c r="B137" s="21" t="s">
        <v>226</v>
      </c>
      <c r="C137" s="21" t="s">
        <v>81</v>
      </c>
      <c r="D137" s="15" t="s">
        <v>227</v>
      </c>
      <c r="E137" s="28"/>
      <c r="F137" s="29"/>
      <c r="G137" s="29"/>
      <c r="H137" s="28">
        <f t="shared" ref="H137" si="36">I137+M137</f>
        <v>579.29999999999995</v>
      </c>
      <c r="I137" s="28">
        <f>290+190+99.3</f>
        <v>579.29999999999995</v>
      </c>
      <c r="J137" s="28"/>
      <c r="K137" s="28"/>
      <c r="L137" s="28"/>
      <c r="M137" s="28"/>
      <c r="N137" s="28"/>
      <c r="O137" s="43">
        <f t="shared" si="29"/>
        <v>579.29999999999995</v>
      </c>
    </row>
    <row r="138" spans="2:15" s="23" customFormat="1" ht="15.75">
      <c r="B138" s="30" t="s">
        <v>160</v>
      </c>
      <c r="C138" s="30"/>
      <c r="D138" s="67" t="s">
        <v>18</v>
      </c>
      <c r="E138" s="12">
        <f>E139</f>
        <v>2812</v>
      </c>
      <c r="F138" s="12"/>
      <c r="G138" s="12"/>
      <c r="H138" s="19">
        <f>I138+L138</f>
        <v>0</v>
      </c>
      <c r="I138" s="12">
        <f t="shared" ref="I138:N138" si="37">I139</f>
        <v>0</v>
      </c>
      <c r="J138" s="12">
        <f t="shared" si="37"/>
        <v>0</v>
      </c>
      <c r="K138" s="12">
        <f t="shared" si="37"/>
        <v>0</v>
      </c>
      <c r="L138" s="12">
        <f t="shared" si="37"/>
        <v>0</v>
      </c>
      <c r="M138" s="12">
        <f t="shared" si="37"/>
        <v>0</v>
      </c>
      <c r="N138" s="12">
        <f t="shared" si="37"/>
        <v>0</v>
      </c>
      <c r="O138" s="12">
        <f>E138+H138</f>
        <v>2812</v>
      </c>
    </row>
    <row r="139" spans="2:15" ht="31.5">
      <c r="B139" s="21" t="s">
        <v>161</v>
      </c>
      <c r="C139" s="21" t="s">
        <v>76</v>
      </c>
      <c r="D139" s="68" t="s">
        <v>159</v>
      </c>
      <c r="E139" s="2">
        <f>1100+1712</f>
        <v>2812</v>
      </c>
      <c r="F139" s="2"/>
      <c r="G139" s="2"/>
      <c r="H139" s="13">
        <f t="shared" ref="H139:H143" si="38">I139+L139</f>
        <v>0</v>
      </c>
      <c r="I139" s="13"/>
      <c r="J139" s="13"/>
      <c r="K139" s="13"/>
      <c r="L139" s="13"/>
      <c r="M139" s="13"/>
      <c r="N139" s="13"/>
      <c r="O139" s="2">
        <f t="shared" si="29"/>
        <v>2812</v>
      </c>
    </row>
    <row r="140" spans="2:15" ht="15.75">
      <c r="B140" s="30" t="s">
        <v>203</v>
      </c>
      <c r="C140" s="30" t="s">
        <v>82</v>
      </c>
      <c r="D140" s="69" t="s">
        <v>17</v>
      </c>
      <c r="E140" s="12">
        <f>1500+1500+3000</f>
        <v>6000</v>
      </c>
      <c r="F140" s="12"/>
      <c r="G140" s="12"/>
      <c r="H140" s="19">
        <f>I140+L140</f>
        <v>0</v>
      </c>
      <c r="I140" s="13"/>
      <c r="J140" s="13"/>
      <c r="K140" s="13"/>
      <c r="L140" s="13"/>
      <c r="M140" s="13"/>
      <c r="N140" s="13"/>
      <c r="O140" s="12">
        <f t="shared" si="29"/>
        <v>6000</v>
      </c>
    </row>
    <row r="141" spans="2:15">
      <c r="B141" s="30" t="s">
        <v>204</v>
      </c>
      <c r="C141" s="21"/>
      <c r="D141" s="31" t="s">
        <v>205</v>
      </c>
      <c r="E141" s="12">
        <f>E142+E144+E145</f>
        <v>48688.800000000003</v>
      </c>
      <c r="F141" s="12">
        <f t="shared" ref="F141:N141" si="39">F142+F144+F145</f>
        <v>0</v>
      </c>
      <c r="G141" s="12">
        <f t="shared" si="39"/>
        <v>0</v>
      </c>
      <c r="H141" s="19">
        <f t="shared" si="39"/>
        <v>3982</v>
      </c>
      <c r="I141" s="19">
        <f t="shared" si="39"/>
        <v>0</v>
      </c>
      <c r="J141" s="19">
        <f t="shared" si="39"/>
        <v>0</v>
      </c>
      <c r="K141" s="19">
        <f t="shared" si="39"/>
        <v>0</v>
      </c>
      <c r="L141" s="19">
        <f t="shared" si="39"/>
        <v>3982</v>
      </c>
      <c r="M141" s="19">
        <f t="shared" si="39"/>
        <v>3982</v>
      </c>
      <c r="N141" s="19">
        <f t="shared" si="39"/>
        <v>3982</v>
      </c>
      <c r="O141" s="12">
        <f t="shared" si="29"/>
        <v>52670.8</v>
      </c>
    </row>
    <row r="142" spans="2:15">
      <c r="B142" s="21" t="s">
        <v>80</v>
      </c>
      <c r="C142" s="21"/>
      <c r="D142" s="48" t="s">
        <v>278</v>
      </c>
      <c r="E142" s="2">
        <f>E143</f>
        <v>46284</v>
      </c>
      <c r="F142" s="2"/>
      <c r="G142" s="2"/>
      <c r="H142" s="13">
        <f t="shared" si="38"/>
        <v>0</v>
      </c>
      <c r="I142" s="13"/>
      <c r="J142" s="13"/>
      <c r="K142" s="13"/>
      <c r="L142" s="13"/>
      <c r="M142" s="13"/>
      <c r="N142" s="13"/>
      <c r="O142" s="2">
        <f t="shared" si="29"/>
        <v>46284</v>
      </c>
    </row>
    <row r="143" spans="2:15" ht="15.75">
      <c r="B143" s="21" t="s">
        <v>206</v>
      </c>
      <c r="C143" s="21" t="s">
        <v>26</v>
      </c>
      <c r="D143" s="66" t="s">
        <v>207</v>
      </c>
      <c r="E143" s="2">
        <v>46284</v>
      </c>
      <c r="F143" s="2"/>
      <c r="G143" s="2"/>
      <c r="H143" s="13">
        <f t="shared" si="38"/>
        <v>0</v>
      </c>
      <c r="I143" s="13"/>
      <c r="J143" s="13"/>
      <c r="K143" s="13"/>
      <c r="L143" s="13"/>
      <c r="M143" s="13"/>
      <c r="N143" s="13"/>
      <c r="O143" s="50">
        <f t="shared" si="29"/>
        <v>46284</v>
      </c>
    </row>
    <row r="144" spans="2:15" s="115" customFormat="1" ht="15.75">
      <c r="B144" s="30" t="s">
        <v>305</v>
      </c>
      <c r="C144" s="30" t="s">
        <v>26</v>
      </c>
      <c r="D144" s="69" t="s">
        <v>306</v>
      </c>
      <c r="E144" s="60">
        <v>15</v>
      </c>
      <c r="F144" s="61"/>
      <c r="G144" s="61"/>
      <c r="H144" s="61">
        <f>L144</f>
        <v>313</v>
      </c>
      <c r="I144" s="61"/>
      <c r="J144" s="61"/>
      <c r="K144" s="61"/>
      <c r="L144" s="61">
        <v>313</v>
      </c>
      <c r="M144" s="61">
        <v>313</v>
      </c>
      <c r="N144" s="61">
        <v>313</v>
      </c>
      <c r="O144" s="61">
        <f t="shared" si="29"/>
        <v>328</v>
      </c>
    </row>
    <row r="145" spans="2:17" s="55" customFormat="1" ht="43.5">
      <c r="B145" s="30" t="s">
        <v>290</v>
      </c>
      <c r="C145" s="30" t="s">
        <v>26</v>
      </c>
      <c r="D145" s="31" t="s">
        <v>291</v>
      </c>
      <c r="E145" s="60">
        <f>850+1238.8+301</f>
        <v>2389.8000000000002</v>
      </c>
      <c r="F145" s="61"/>
      <c r="G145" s="61"/>
      <c r="H145" s="61">
        <f>I145+L145</f>
        <v>3669</v>
      </c>
      <c r="I145" s="61"/>
      <c r="J145" s="61"/>
      <c r="K145" s="61"/>
      <c r="L145" s="61">
        <f>1700+1630+339</f>
        <v>3669</v>
      </c>
      <c r="M145" s="61">
        <f>1700+1630+339</f>
        <v>3669</v>
      </c>
      <c r="N145" s="61">
        <f>1700+1630+339</f>
        <v>3669</v>
      </c>
      <c r="O145" s="61">
        <f t="shared" si="29"/>
        <v>6058.8</v>
      </c>
    </row>
    <row r="146" spans="2:17">
      <c r="B146" s="21"/>
      <c r="C146" s="21"/>
      <c r="D146" s="31" t="s">
        <v>10</v>
      </c>
      <c r="E146" s="19">
        <f>E12+E17+E36+E47+E87+E94+E102+E112+E131+E141</f>
        <v>673597.08000000007</v>
      </c>
      <c r="F146" s="19">
        <f>F12+F17+F36+F47+F87+F94+F102+F112+F131+F141</f>
        <v>246632.50000000003</v>
      </c>
      <c r="G146" s="19">
        <f>G12+G17+G36+G47+G87+G94+G102+G112+G131+G141</f>
        <v>26806.400000000009</v>
      </c>
      <c r="H146" s="19">
        <f>I146+L146</f>
        <v>181295.23736000003</v>
      </c>
      <c r="I146" s="19">
        <f t="shared" ref="I146:N146" si="40">I12+I17+I36+I47+I87+I94+I102+I112+I131+I141</f>
        <v>19040.200999999997</v>
      </c>
      <c r="J146" s="19">
        <f t="shared" si="40"/>
        <v>233.8</v>
      </c>
      <c r="K146" s="19">
        <f t="shared" si="40"/>
        <v>0</v>
      </c>
      <c r="L146" s="19">
        <f t="shared" si="40"/>
        <v>162255.03636000003</v>
      </c>
      <c r="M146" s="19">
        <f t="shared" si="40"/>
        <v>150967.55238000001</v>
      </c>
      <c r="N146" s="19">
        <f t="shared" si="40"/>
        <v>144967.55238000001</v>
      </c>
      <c r="O146" s="19">
        <f>E146+H146</f>
        <v>854892.3173600001</v>
      </c>
      <c r="Q146" s="38">
        <f>O141+O131+O112+O102+O94+O87+O47+O36+O17+O12</f>
        <v>854892.31735999999</v>
      </c>
    </row>
    <row r="147" spans="2:17">
      <c r="M147" s="38"/>
      <c r="N147" s="38"/>
      <c r="O147" s="38"/>
    </row>
    <row r="148" spans="2:17" s="44" customFormat="1" ht="15.75">
      <c r="B148" s="45"/>
      <c r="C148" s="45"/>
      <c r="D148" s="46" t="s">
        <v>123</v>
      </c>
      <c r="E148" s="47"/>
      <c r="F148" s="47"/>
      <c r="G148" s="47"/>
      <c r="H148" s="47"/>
      <c r="I148" s="47"/>
      <c r="J148" s="47"/>
      <c r="K148" s="47"/>
      <c r="L148" s="47"/>
      <c r="M148" s="47" t="s">
        <v>124</v>
      </c>
      <c r="N148" s="47"/>
      <c r="O148" s="47"/>
    </row>
    <row r="149" spans="2:17" s="55" customFormat="1">
      <c r="B149" s="3"/>
      <c r="C149" s="3"/>
      <c r="D149" s="54"/>
      <c r="K149" s="56"/>
    </row>
    <row r="150" spans="2:17"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</row>
    <row r="151" spans="2:17"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</row>
    <row r="152" spans="2:17">
      <c r="E152" s="49">
        <f>[1]початковий!E135+'[1]зміни лютий'!E139</f>
        <v>673597.08</v>
      </c>
      <c r="F152" s="49">
        <f>[1]початковий!F135+'[1]зміни лютий'!F139</f>
        <v>246322.50000000003</v>
      </c>
      <c r="G152" s="49">
        <f>[1]початковий!G135+'[1]зміни лютий'!G139</f>
        <v>26806.400000000009</v>
      </c>
      <c r="H152" s="49">
        <f>[1]початковий!H135+'[1]зміни лютий'!H139</f>
        <v>181295.23736</v>
      </c>
      <c r="I152" s="49">
        <f>[1]початковий!I135+'[1]зміни лютий'!I139</f>
        <v>19040.200999999997</v>
      </c>
      <c r="J152" s="49">
        <f>[1]початковий!J135+'[1]зміни лютий'!J139</f>
        <v>233.8</v>
      </c>
      <c r="K152" s="49">
        <f>[1]початковий!K135+'[1]зміни лютий'!K139</f>
        <v>0</v>
      </c>
      <c r="L152" s="49">
        <f>[1]початковий!L135+'[1]зміни лютий'!L139</f>
        <v>162255.03636</v>
      </c>
      <c r="M152" s="49">
        <f>[1]початковий!M135+'[1]зміни лютий'!M139</f>
        <v>150967.55238000001</v>
      </c>
      <c r="N152" s="49">
        <f>[1]початковий!N135+'[1]зміни лютий'!N139</f>
        <v>144967.55238000001</v>
      </c>
      <c r="O152" s="49">
        <f>[1]початковий!O135+'[1]зміни лютий'!O139</f>
        <v>854892.31735999999</v>
      </c>
    </row>
    <row r="153" spans="2:17"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</row>
    <row r="154" spans="2:17">
      <c r="E154" s="49">
        <f>E146-E152</f>
        <v>0</v>
      </c>
      <c r="F154" s="49">
        <f t="shared" ref="F154:O154" si="41">F146-F152</f>
        <v>310</v>
      </c>
      <c r="G154" s="49">
        <f t="shared" si="41"/>
        <v>0</v>
      </c>
      <c r="H154" s="49">
        <f t="shared" si="41"/>
        <v>0</v>
      </c>
      <c r="I154" s="49">
        <f t="shared" si="41"/>
        <v>0</v>
      </c>
      <c r="J154" s="49">
        <f t="shared" si="41"/>
        <v>0</v>
      </c>
      <c r="K154" s="49">
        <f t="shared" si="41"/>
        <v>0</v>
      </c>
      <c r="L154" s="49">
        <f t="shared" si="41"/>
        <v>0</v>
      </c>
      <c r="M154" s="49">
        <f t="shared" si="41"/>
        <v>0</v>
      </c>
      <c r="N154" s="49">
        <f t="shared" si="41"/>
        <v>0</v>
      </c>
      <c r="O154" s="49">
        <f t="shared" si="41"/>
        <v>0</v>
      </c>
    </row>
    <row r="155" spans="2:17"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</row>
    <row r="156" spans="2:17"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</row>
    <row r="157" spans="2:17"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</row>
    <row r="158" spans="2:17"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</row>
    <row r="159" spans="2:17"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</row>
    <row r="160" spans="2:17"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</row>
    <row r="161" spans="4:15"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</row>
    <row r="162" spans="4:15"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</row>
    <row r="163" spans="4:15"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</row>
    <row r="165" spans="4:15"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</row>
    <row r="166" spans="4:15">
      <c r="D166" s="57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</row>
    <row r="167" spans="4:15"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</row>
    <row r="168" spans="4:15">
      <c r="H168" s="49"/>
      <c r="O168" s="49"/>
    </row>
    <row r="169" spans="4:15">
      <c r="H169" s="49"/>
      <c r="O169" s="49"/>
    </row>
    <row r="170" spans="4:15">
      <c r="H170" s="49"/>
      <c r="O170" s="49"/>
    </row>
    <row r="171" spans="4:15">
      <c r="H171" s="49"/>
      <c r="O171" s="49"/>
    </row>
    <row r="172" spans="4:15">
      <c r="H172" s="49"/>
      <c r="O172" s="49"/>
    </row>
    <row r="173" spans="4:15">
      <c r="H173" s="49"/>
      <c r="O173" s="49"/>
    </row>
    <row r="174" spans="4:15">
      <c r="H174" s="49"/>
      <c r="O174" s="49"/>
    </row>
    <row r="175" spans="4:15">
      <c r="H175" s="49"/>
      <c r="O175" s="49"/>
    </row>
    <row r="176" spans="4:15">
      <c r="H176" s="49"/>
      <c r="O176" s="49"/>
    </row>
    <row r="177" spans="5:15">
      <c r="E177" s="49"/>
      <c r="H177" s="49"/>
      <c r="I177" s="49"/>
      <c r="L177" s="49"/>
      <c r="M177" s="49"/>
      <c r="N177" s="49"/>
      <c r="O177" s="49"/>
    </row>
  </sheetData>
  <mergeCells count="21">
    <mergeCell ref="M8:N8"/>
    <mergeCell ref="F9:F10"/>
    <mergeCell ref="G9:G10"/>
    <mergeCell ref="J9:J10"/>
    <mergeCell ref="K9:K10"/>
    <mergeCell ref="L2:N2"/>
    <mergeCell ref="B4:O4"/>
    <mergeCell ref="B5:O5"/>
    <mergeCell ref="B7:B10"/>
    <mergeCell ref="C7:C10"/>
    <mergeCell ref="D7:D10"/>
    <mergeCell ref="E7:G7"/>
    <mergeCell ref="H7:N7"/>
    <mergeCell ref="O7:O10"/>
    <mergeCell ref="E8:E10"/>
    <mergeCell ref="M9:M10"/>
    <mergeCell ref="F8:G8"/>
    <mergeCell ref="H8:H10"/>
    <mergeCell ref="I8:I10"/>
    <mergeCell ref="J8:K8"/>
    <mergeCell ref="L8:L10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175"/>
  <sheetViews>
    <sheetView tabSelected="1" view="pageBreakPreview" zoomScale="60" workbookViewId="0">
      <pane xSplit="4" ySplit="10" topLeftCell="E120" activePane="bottomRight" state="frozen"/>
      <selection pane="topRight" activeCell="E1" sqref="E1"/>
      <selection pane="bottomLeft" activeCell="A11" sqref="A11"/>
      <selection pane="bottomRight" activeCell="G146" sqref="G146"/>
    </sheetView>
  </sheetViews>
  <sheetFormatPr defaultRowHeight="15"/>
  <cols>
    <col min="1" max="1" width="0.42578125" style="55" customWidth="1"/>
    <col min="2" max="3" width="9.140625" style="3"/>
    <col min="4" max="4" width="48" style="109" customWidth="1"/>
    <col min="5" max="6" width="15.7109375" style="55" customWidth="1"/>
    <col min="7" max="7" width="15.42578125" style="55" customWidth="1"/>
    <col min="8" max="10" width="15.7109375" style="55" customWidth="1"/>
    <col min="11" max="11" width="15.140625" style="55" customWidth="1"/>
    <col min="12" max="12" width="14.85546875" style="55" customWidth="1"/>
    <col min="13" max="13" width="14.140625" style="55" customWidth="1"/>
    <col min="14" max="14" width="16.28515625" style="55" customWidth="1"/>
    <col min="15" max="15" width="17" style="55" customWidth="1"/>
    <col min="16" max="16" width="18.140625" style="55" customWidth="1"/>
    <col min="17" max="17" width="15.140625" style="55" customWidth="1"/>
    <col min="18" max="18" width="11.85546875" style="55" customWidth="1"/>
    <col min="19" max="19" width="13.7109375" style="55" bestFit="1" customWidth="1"/>
    <col min="20" max="16384" width="9.140625" style="55"/>
  </cols>
  <sheetData>
    <row r="1" spans="1:17">
      <c r="N1" s="8" t="s">
        <v>293</v>
      </c>
      <c r="O1" s="5"/>
    </row>
    <row r="2" spans="1:17">
      <c r="N2" s="140" t="s">
        <v>329</v>
      </c>
      <c r="O2" s="140"/>
      <c r="P2" s="140"/>
    </row>
    <row r="3" spans="1:17">
      <c r="N3" s="139" t="s">
        <v>326</v>
      </c>
      <c r="O3" s="110"/>
      <c r="P3" s="111"/>
    </row>
    <row r="4" spans="1:17" ht="20.25" customHeight="1">
      <c r="B4" s="142" t="s">
        <v>283</v>
      </c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</row>
    <row r="5" spans="1:17">
      <c r="Q5" s="112" t="s">
        <v>0</v>
      </c>
    </row>
    <row r="6" spans="1:17" ht="24" customHeight="1">
      <c r="B6" s="144" t="s">
        <v>22</v>
      </c>
      <c r="C6" s="144" t="s">
        <v>23</v>
      </c>
      <c r="D6" s="144" t="s">
        <v>238</v>
      </c>
      <c r="E6" s="144" t="s">
        <v>1</v>
      </c>
      <c r="F6" s="144"/>
      <c r="G6" s="144"/>
      <c r="H6" s="144"/>
      <c r="I6" s="144"/>
      <c r="J6" s="144" t="s">
        <v>5</v>
      </c>
      <c r="K6" s="144"/>
      <c r="L6" s="144"/>
      <c r="M6" s="144"/>
      <c r="N6" s="144"/>
      <c r="O6" s="144"/>
      <c r="P6" s="144"/>
      <c r="Q6" s="144" t="s">
        <v>10</v>
      </c>
    </row>
    <row r="7" spans="1:17">
      <c r="B7" s="144"/>
      <c r="C7" s="144"/>
      <c r="D7" s="144"/>
      <c r="E7" s="144" t="s">
        <v>2</v>
      </c>
      <c r="F7" s="144" t="s">
        <v>316</v>
      </c>
      <c r="G7" s="144" t="s">
        <v>3</v>
      </c>
      <c r="H7" s="144"/>
      <c r="I7" s="144" t="s">
        <v>317</v>
      </c>
      <c r="J7" s="144" t="s">
        <v>2</v>
      </c>
      <c r="K7" s="144" t="s">
        <v>316</v>
      </c>
      <c r="L7" s="144" t="s">
        <v>3</v>
      </c>
      <c r="M7" s="144"/>
      <c r="N7" s="144" t="s">
        <v>317</v>
      </c>
      <c r="O7" s="144" t="s">
        <v>3</v>
      </c>
      <c r="P7" s="144"/>
      <c r="Q7" s="144"/>
    </row>
    <row r="8" spans="1:17" ht="15" customHeight="1">
      <c r="B8" s="144"/>
      <c r="C8" s="144"/>
      <c r="D8" s="144"/>
      <c r="E8" s="144"/>
      <c r="F8" s="144"/>
      <c r="G8" s="144" t="s">
        <v>16</v>
      </c>
      <c r="H8" s="144" t="s">
        <v>4</v>
      </c>
      <c r="I8" s="144"/>
      <c r="J8" s="144"/>
      <c r="K8" s="144"/>
      <c r="L8" s="144" t="s">
        <v>16</v>
      </c>
      <c r="M8" s="144" t="s">
        <v>4</v>
      </c>
      <c r="N8" s="144"/>
      <c r="O8" s="144" t="s">
        <v>8</v>
      </c>
      <c r="P8" s="137" t="s">
        <v>3</v>
      </c>
      <c r="Q8" s="144"/>
    </row>
    <row r="9" spans="1:17" ht="59.25" customHeight="1"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0" t="s">
        <v>9</v>
      </c>
      <c r="Q9" s="144"/>
    </row>
    <row r="10" spans="1:17">
      <c r="B10" s="11">
        <v>1</v>
      </c>
      <c r="C10" s="11">
        <v>2</v>
      </c>
      <c r="D10" s="137">
        <v>3</v>
      </c>
      <c r="E10" s="137">
        <v>4</v>
      </c>
      <c r="F10" s="137"/>
      <c r="G10" s="137">
        <v>5</v>
      </c>
      <c r="H10" s="137">
        <v>6</v>
      </c>
      <c r="I10" s="137"/>
      <c r="J10" s="137">
        <v>7</v>
      </c>
      <c r="K10" s="137">
        <v>8</v>
      </c>
      <c r="L10" s="137">
        <v>9</v>
      </c>
      <c r="M10" s="137">
        <v>10</v>
      </c>
      <c r="N10" s="137">
        <v>11</v>
      </c>
      <c r="O10" s="137">
        <v>12</v>
      </c>
      <c r="P10" s="137">
        <v>13</v>
      </c>
      <c r="Q10" s="133" t="s">
        <v>24</v>
      </c>
    </row>
    <row r="11" spans="1:17" ht="21" customHeight="1">
      <c r="B11" s="30" t="s">
        <v>25</v>
      </c>
      <c r="C11" s="21"/>
      <c r="D11" s="31" t="s">
        <v>11</v>
      </c>
      <c r="E11" s="61">
        <f>E12+E13+E14+E15</f>
        <v>2242</v>
      </c>
      <c r="F11" s="61">
        <f>F12+F13+F14+F15</f>
        <v>2242</v>
      </c>
      <c r="G11" s="61">
        <f t="shared" ref="G11:H11" si="0">G12+G13+G14+G15</f>
        <v>0</v>
      </c>
      <c r="H11" s="61">
        <f t="shared" si="0"/>
        <v>0</v>
      </c>
      <c r="I11" s="61"/>
      <c r="J11" s="61">
        <f>K11+N11</f>
        <v>898</v>
      </c>
      <c r="K11" s="61">
        <f>K12+K13+K14+K15</f>
        <v>0</v>
      </c>
      <c r="L11" s="61"/>
      <c r="M11" s="61"/>
      <c r="N11" s="61">
        <f>N12+N13+N15</f>
        <v>898</v>
      </c>
      <c r="O11" s="61">
        <f t="shared" ref="O11:P11" si="1">O12+O13+O15</f>
        <v>898</v>
      </c>
      <c r="P11" s="61">
        <f t="shared" si="1"/>
        <v>898</v>
      </c>
      <c r="Q11" s="61">
        <f>E11+J11</f>
        <v>3140</v>
      </c>
    </row>
    <row r="12" spans="1:17" ht="75">
      <c r="B12" s="21" t="s">
        <v>139</v>
      </c>
      <c r="C12" s="21" t="s">
        <v>27</v>
      </c>
      <c r="D12" s="70" t="s">
        <v>138</v>
      </c>
      <c r="E12" s="80">
        <f>19.81018+1597.74247</f>
        <v>1617.5526499999999</v>
      </c>
      <c r="F12" s="80">
        <f>19.81018+1597.74247</f>
        <v>1617.5526499999999</v>
      </c>
      <c r="G12" s="80"/>
      <c r="H12" s="80"/>
      <c r="I12" s="80"/>
      <c r="J12" s="80">
        <f>K12+N12</f>
        <v>12</v>
      </c>
      <c r="K12" s="80"/>
      <c r="L12" s="80"/>
      <c r="M12" s="80"/>
      <c r="N12" s="80">
        <v>12</v>
      </c>
      <c r="O12" s="80">
        <v>12</v>
      </c>
      <c r="P12" s="80">
        <v>12</v>
      </c>
      <c r="Q12" s="80">
        <f>E12+J12</f>
        <v>1629.5526499999999</v>
      </c>
    </row>
    <row r="13" spans="1:17" ht="45">
      <c r="B13" s="21" t="s">
        <v>141</v>
      </c>
      <c r="C13" s="21" t="s">
        <v>27</v>
      </c>
      <c r="D13" s="71" t="s">
        <v>271</v>
      </c>
      <c r="E13" s="80">
        <f>-8-19.81018-1597.74247</f>
        <v>-1625.5526499999999</v>
      </c>
      <c r="F13" s="80">
        <f>-8-19.81018-1597.74247</f>
        <v>-1625.5526499999999</v>
      </c>
      <c r="G13" s="80"/>
      <c r="H13" s="80"/>
      <c r="I13" s="80"/>
      <c r="J13" s="80">
        <f>K13+N13</f>
        <v>6</v>
      </c>
      <c r="K13" s="80"/>
      <c r="L13" s="80"/>
      <c r="M13" s="80"/>
      <c r="N13" s="80">
        <f>-2+20-12</f>
        <v>6</v>
      </c>
      <c r="O13" s="80">
        <f>-2+20-12</f>
        <v>6</v>
      </c>
      <c r="P13" s="80">
        <f>-2+20-12</f>
        <v>6</v>
      </c>
      <c r="Q13" s="80">
        <f>E13+J13</f>
        <v>-1619.5526499999999</v>
      </c>
    </row>
    <row r="14" spans="1:17" ht="30">
      <c r="B14" s="21" t="s">
        <v>188</v>
      </c>
      <c r="C14" s="21" t="s">
        <v>189</v>
      </c>
      <c r="D14" s="71" t="s">
        <v>190</v>
      </c>
      <c r="E14" s="80">
        <v>10</v>
      </c>
      <c r="F14" s="80">
        <v>10</v>
      </c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>
        <f t="shared" ref="Q14:Q97" si="2">E14+J14</f>
        <v>10</v>
      </c>
    </row>
    <row r="15" spans="1:17" ht="15.75">
      <c r="A15" s="55" t="s">
        <v>210</v>
      </c>
      <c r="B15" s="21" t="s">
        <v>26</v>
      </c>
      <c r="C15" s="21" t="s">
        <v>82</v>
      </c>
      <c r="D15" s="42" t="s">
        <v>200</v>
      </c>
      <c r="E15" s="80">
        <f>400-2580-400+5500+30-30-80-600</f>
        <v>2240</v>
      </c>
      <c r="F15" s="80">
        <f>E15</f>
        <v>2240</v>
      </c>
      <c r="G15" s="80"/>
      <c r="H15" s="80"/>
      <c r="I15" s="80"/>
      <c r="J15" s="80">
        <f t="shared" ref="J15" si="3">K15+N15</f>
        <v>880</v>
      </c>
      <c r="K15" s="80"/>
      <c r="L15" s="80"/>
      <c r="M15" s="80"/>
      <c r="N15" s="80">
        <f>-20+1000-100</f>
        <v>880</v>
      </c>
      <c r="O15" s="80">
        <f>-20+1000-100</f>
        <v>880</v>
      </c>
      <c r="P15" s="80">
        <f>-20+1000-100</f>
        <v>880</v>
      </c>
      <c r="Q15" s="80">
        <f t="shared" si="2"/>
        <v>3120</v>
      </c>
    </row>
    <row r="16" spans="1:17" ht="14.25" customHeight="1">
      <c r="A16" s="113"/>
      <c r="B16" s="30" t="s">
        <v>28</v>
      </c>
      <c r="C16" s="21"/>
      <c r="D16" s="31" t="s">
        <v>12</v>
      </c>
      <c r="E16" s="61">
        <f>E17+E18+E20+E22+E25+E26+E27</f>
        <v>1740.0665199999999</v>
      </c>
      <c r="F16" s="61">
        <f>F18+F17</f>
        <v>1740.0665199999999</v>
      </c>
      <c r="G16" s="61">
        <f t="shared" ref="G16:H16" si="4">G17+G18+G20+G22+G25+G26</f>
        <v>1282.0665200000001</v>
      </c>
      <c r="H16" s="61">
        <f t="shared" si="4"/>
        <v>0</v>
      </c>
      <c r="I16" s="61"/>
      <c r="J16" s="61">
        <f>K16+N16</f>
        <v>6555.7884000000004</v>
      </c>
      <c r="K16" s="61">
        <f>K17+K18+K20+K22+K25+K26</f>
        <v>0</v>
      </c>
      <c r="L16" s="61">
        <f t="shared" ref="L16:P16" si="5">L17+L18+L20+L22+L25+L26</f>
        <v>0</v>
      </c>
      <c r="M16" s="61">
        <f t="shared" si="5"/>
        <v>0</v>
      </c>
      <c r="N16" s="61">
        <f t="shared" si="5"/>
        <v>6555.7884000000004</v>
      </c>
      <c r="O16" s="61">
        <f t="shared" si="5"/>
        <v>6555.7884000000004</v>
      </c>
      <c r="P16" s="61">
        <f t="shared" si="5"/>
        <v>-522.06652000000008</v>
      </c>
      <c r="Q16" s="61">
        <f>E16+J16</f>
        <v>8295.8549199999998</v>
      </c>
    </row>
    <row r="17" spans="2:17" s="114" customFormat="1" ht="15.75">
      <c r="B17" s="21" t="s">
        <v>30</v>
      </c>
      <c r="C17" s="21" t="s">
        <v>29</v>
      </c>
      <c r="D17" s="48" t="s">
        <v>162</v>
      </c>
      <c r="E17" s="80">
        <f>F17</f>
        <v>680</v>
      </c>
      <c r="F17" s="80">
        <f>80+600</f>
        <v>680</v>
      </c>
      <c r="G17" s="80"/>
      <c r="H17" s="80"/>
      <c r="I17" s="80"/>
      <c r="J17" s="80">
        <f>K17+N17</f>
        <v>5077.8549200000007</v>
      </c>
      <c r="K17" s="80"/>
      <c r="L17" s="80"/>
      <c r="M17" s="80"/>
      <c r="N17" s="80">
        <f>710+1833.1+2500+0.1-65.34508+100</f>
        <v>5077.8549200000007</v>
      </c>
      <c r="O17" s="80">
        <f>710+1833.1+2500+0.1-65.34508+100</f>
        <v>5077.8549200000007</v>
      </c>
      <c r="P17" s="80">
        <v>100</v>
      </c>
      <c r="Q17" s="80">
        <f>E17+J17</f>
        <v>5757.8549200000007</v>
      </c>
    </row>
    <row r="18" spans="2:17" ht="75">
      <c r="B18" s="21" t="s">
        <v>31</v>
      </c>
      <c r="C18" s="21" t="s">
        <v>32</v>
      </c>
      <c r="D18" s="71" t="s">
        <v>33</v>
      </c>
      <c r="E18" s="80">
        <f>982.06652+78</f>
        <v>1060.0665199999999</v>
      </c>
      <c r="F18" s="80">
        <f>E18</f>
        <v>1060.0665199999999</v>
      </c>
      <c r="G18" s="80">
        <f t="shared" ref="G18:M18" si="6">G19+G20</f>
        <v>1282.0665200000001</v>
      </c>
      <c r="H18" s="80">
        <f t="shared" si="6"/>
        <v>0</v>
      </c>
      <c r="I18" s="80"/>
      <c r="J18" s="80">
        <f>K18+N18</f>
        <v>1550</v>
      </c>
      <c r="K18" s="80">
        <f t="shared" si="6"/>
        <v>0</v>
      </c>
      <c r="L18" s="80">
        <f t="shared" si="6"/>
        <v>0</v>
      </c>
      <c r="M18" s="80">
        <f t="shared" si="6"/>
        <v>0</v>
      </c>
      <c r="N18" s="80">
        <f>-700+360+1890</f>
        <v>1550</v>
      </c>
      <c r="O18" s="80">
        <f>-700+360+1890</f>
        <v>1550</v>
      </c>
      <c r="P18" s="80">
        <f>-700+360</f>
        <v>-340</v>
      </c>
      <c r="Q18" s="82">
        <f t="shared" ref="Q18" si="7">E18+J18</f>
        <v>2610.0665199999999</v>
      </c>
    </row>
    <row r="19" spans="2:17" ht="75">
      <c r="B19" s="21"/>
      <c r="C19" s="21"/>
      <c r="D19" s="72" t="s">
        <v>300</v>
      </c>
      <c r="E19" s="103">
        <v>982.06651999999997</v>
      </c>
      <c r="F19" s="103">
        <f>E19</f>
        <v>982.06651999999997</v>
      </c>
      <c r="G19" s="103">
        <v>1282.0665200000001</v>
      </c>
      <c r="H19" s="103"/>
      <c r="I19" s="103"/>
      <c r="J19" s="102">
        <f>K19+N19</f>
        <v>-700</v>
      </c>
      <c r="K19" s="103"/>
      <c r="L19" s="103"/>
      <c r="M19" s="103"/>
      <c r="N19" s="103">
        <v>-700</v>
      </c>
      <c r="O19" s="103">
        <v>-700</v>
      </c>
      <c r="P19" s="103">
        <v>-700</v>
      </c>
      <c r="Q19" s="102">
        <f>E19+J19</f>
        <v>282.06651999999997</v>
      </c>
    </row>
    <row r="20" spans="2:17" ht="30" hidden="1" customHeight="1">
      <c r="B20" s="21" t="s">
        <v>34</v>
      </c>
      <c r="C20" s="21" t="s">
        <v>32</v>
      </c>
      <c r="D20" s="71" t="s">
        <v>35</v>
      </c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>
        <f t="shared" si="2"/>
        <v>0</v>
      </c>
    </row>
    <row r="21" spans="2:17" ht="60" hidden="1" customHeight="1">
      <c r="B21" s="21"/>
      <c r="C21" s="21"/>
      <c r="D21" s="72" t="s">
        <v>20</v>
      </c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>
        <f t="shared" si="2"/>
        <v>0</v>
      </c>
    </row>
    <row r="22" spans="2:17" ht="75">
      <c r="B22" s="21" t="s">
        <v>74</v>
      </c>
      <c r="C22" s="21" t="s">
        <v>37</v>
      </c>
      <c r="D22" s="71" t="s">
        <v>122</v>
      </c>
      <c r="E22" s="80">
        <f>E23</f>
        <v>0</v>
      </c>
      <c r="F22" s="80"/>
      <c r="G22" s="80">
        <f t="shared" ref="G22:P22" si="8">G23</f>
        <v>0</v>
      </c>
      <c r="H22" s="80">
        <f t="shared" si="8"/>
        <v>0</v>
      </c>
      <c r="I22" s="80"/>
      <c r="J22" s="80">
        <f>K22+N22</f>
        <v>-72.066520000000025</v>
      </c>
      <c r="K22" s="80">
        <f t="shared" si="8"/>
        <v>0</v>
      </c>
      <c r="L22" s="80">
        <f t="shared" si="8"/>
        <v>0</v>
      </c>
      <c r="M22" s="80">
        <f t="shared" si="8"/>
        <v>0</v>
      </c>
      <c r="N22" s="80">
        <f>-282.06652+210</f>
        <v>-72.066520000000025</v>
      </c>
      <c r="O22" s="80">
        <f>-282.06652+210</f>
        <v>-72.066520000000025</v>
      </c>
      <c r="P22" s="80">
        <f t="shared" si="8"/>
        <v>-282.06652000000003</v>
      </c>
      <c r="Q22" s="82">
        <f t="shared" si="2"/>
        <v>-72.066520000000025</v>
      </c>
    </row>
    <row r="23" spans="2:17" ht="60">
      <c r="B23" s="21"/>
      <c r="C23" s="21"/>
      <c r="D23" s="72" t="s">
        <v>20</v>
      </c>
      <c r="E23" s="103"/>
      <c r="F23" s="103"/>
      <c r="G23" s="103"/>
      <c r="H23" s="103"/>
      <c r="I23" s="103"/>
      <c r="J23" s="102">
        <f>K23+N23</f>
        <v>-282.06652000000003</v>
      </c>
      <c r="K23" s="103"/>
      <c r="L23" s="103"/>
      <c r="M23" s="103"/>
      <c r="N23" s="103">
        <v>-282.06652000000003</v>
      </c>
      <c r="O23" s="103">
        <v>-282.06652000000003</v>
      </c>
      <c r="P23" s="103">
        <v>-282.06652000000003</v>
      </c>
      <c r="Q23" s="102">
        <f t="shared" si="2"/>
        <v>-282.06652000000003</v>
      </c>
    </row>
    <row r="24" spans="2:17" ht="75" hidden="1">
      <c r="B24" s="21"/>
      <c r="C24" s="21"/>
      <c r="D24" s="72" t="s">
        <v>299</v>
      </c>
      <c r="E24" s="103"/>
      <c r="F24" s="103"/>
      <c r="G24" s="103"/>
      <c r="H24" s="80"/>
      <c r="I24" s="80"/>
      <c r="J24" s="80">
        <f>K24+N24</f>
        <v>0</v>
      </c>
      <c r="K24" s="80"/>
      <c r="L24" s="80"/>
      <c r="M24" s="80"/>
      <c r="N24" s="103"/>
      <c r="O24" s="80"/>
      <c r="P24" s="80"/>
      <c r="Q24" s="103">
        <f t="shared" si="2"/>
        <v>0</v>
      </c>
    </row>
    <row r="25" spans="2:17" ht="45" hidden="1">
      <c r="B25" s="21" t="s">
        <v>38</v>
      </c>
      <c r="C25" s="21" t="s">
        <v>39</v>
      </c>
      <c r="D25" s="71" t="s">
        <v>40</v>
      </c>
      <c r="E25" s="80"/>
      <c r="F25" s="80"/>
      <c r="G25" s="80"/>
      <c r="H25" s="80"/>
      <c r="I25" s="80"/>
      <c r="J25" s="80">
        <f>K25+N25</f>
        <v>0</v>
      </c>
      <c r="K25" s="80"/>
      <c r="L25" s="80"/>
      <c r="M25" s="80"/>
      <c r="N25" s="80"/>
      <c r="O25" s="80"/>
      <c r="P25" s="80"/>
      <c r="Q25" s="80">
        <f t="shared" si="2"/>
        <v>0</v>
      </c>
    </row>
    <row r="26" spans="2:17" ht="60" hidden="1">
      <c r="B26" s="21" t="s">
        <v>145</v>
      </c>
      <c r="C26" s="21" t="s">
        <v>39</v>
      </c>
      <c r="D26" s="71" t="s">
        <v>146</v>
      </c>
      <c r="E26" s="80"/>
      <c r="F26" s="80"/>
      <c r="G26" s="80"/>
      <c r="H26" s="80"/>
      <c r="I26" s="80"/>
      <c r="J26" s="80">
        <f>K26+N26</f>
        <v>0</v>
      </c>
      <c r="K26" s="80"/>
      <c r="L26" s="80"/>
      <c r="M26" s="80"/>
      <c r="N26" s="80"/>
      <c r="O26" s="80"/>
      <c r="P26" s="80"/>
      <c r="Q26" s="80">
        <f t="shared" si="2"/>
        <v>0</v>
      </c>
    </row>
    <row r="27" spans="2:17" ht="15.75" hidden="1">
      <c r="B27" s="21" t="s">
        <v>143</v>
      </c>
      <c r="C27" s="21"/>
      <c r="D27" s="71" t="s">
        <v>144</v>
      </c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>
        <f t="shared" si="2"/>
        <v>0</v>
      </c>
    </row>
    <row r="28" spans="2:17" ht="30" hidden="1">
      <c r="B28" s="18" t="s">
        <v>246</v>
      </c>
      <c r="C28" s="18" t="s">
        <v>43</v>
      </c>
      <c r="D28" s="92" t="s">
        <v>247</v>
      </c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>
        <f t="shared" si="2"/>
        <v>0</v>
      </c>
    </row>
    <row r="29" spans="2:17" s="115" customFormat="1" ht="15.75">
      <c r="B29" s="30" t="s">
        <v>44</v>
      </c>
      <c r="C29" s="30"/>
      <c r="D29" s="74" t="s">
        <v>21</v>
      </c>
      <c r="E29" s="61">
        <f>E30+E35+E36</f>
        <v>5386.3399999999992</v>
      </c>
      <c r="F29" s="61">
        <f>F30</f>
        <v>5386.3399999999992</v>
      </c>
      <c r="G29" s="61">
        <f>G30</f>
        <v>0</v>
      </c>
      <c r="H29" s="61"/>
      <c r="I29" s="61"/>
      <c r="J29" s="61">
        <f t="shared" ref="J29" si="9">K29+N29</f>
        <v>0</v>
      </c>
      <c r="K29" s="61">
        <f t="shared" ref="K29:P29" si="10">K30+K35</f>
        <v>0</v>
      </c>
      <c r="L29" s="61">
        <f t="shared" si="10"/>
        <v>0</v>
      </c>
      <c r="M29" s="61">
        <f t="shared" si="10"/>
        <v>0</v>
      </c>
      <c r="N29" s="61">
        <f t="shared" si="10"/>
        <v>0</v>
      </c>
      <c r="O29" s="61">
        <f t="shared" si="10"/>
        <v>0</v>
      </c>
      <c r="P29" s="61">
        <f t="shared" si="10"/>
        <v>0</v>
      </c>
      <c r="Q29" s="85">
        <f t="shared" si="2"/>
        <v>5386.3399999999992</v>
      </c>
    </row>
    <row r="30" spans="2:17" ht="31.5">
      <c r="B30" s="21" t="s">
        <v>45</v>
      </c>
      <c r="C30" s="21" t="s">
        <v>46</v>
      </c>
      <c r="D30" s="15" t="s">
        <v>47</v>
      </c>
      <c r="E30" s="82">
        <f>2000+2961.4+424.94</f>
        <v>5386.3399999999992</v>
      </c>
      <c r="F30" s="82">
        <f>2000+2961.4+424.94</f>
        <v>5386.3399999999992</v>
      </c>
      <c r="G30" s="82"/>
      <c r="H30" s="82"/>
      <c r="I30" s="82"/>
      <c r="J30" s="82">
        <f>K30+N30</f>
        <v>0</v>
      </c>
      <c r="K30" s="82"/>
      <c r="L30" s="82"/>
      <c r="M30" s="82"/>
      <c r="N30" s="82"/>
      <c r="O30" s="82"/>
      <c r="P30" s="82"/>
      <c r="Q30" s="82">
        <f t="shared" si="2"/>
        <v>5386.3399999999992</v>
      </c>
    </row>
    <row r="31" spans="2:17" s="44" customFormat="1" ht="31.5" hidden="1">
      <c r="B31" s="63"/>
      <c r="C31" s="63"/>
      <c r="D31" s="17" t="s">
        <v>303</v>
      </c>
      <c r="E31" s="102"/>
      <c r="F31" s="102"/>
      <c r="G31" s="102"/>
      <c r="H31" s="82"/>
      <c r="I31" s="82"/>
      <c r="J31" s="102">
        <f>J33+J34</f>
        <v>0</v>
      </c>
      <c r="K31" s="102"/>
      <c r="L31" s="102"/>
      <c r="M31" s="102"/>
      <c r="N31" s="102"/>
      <c r="O31" s="102"/>
      <c r="P31" s="102"/>
      <c r="Q31" s="102">
        <f t="shared" si="2"/>
        <v>0</v>
      </c>
    </row>
    <row r="32" spans="2:17" s="44" customFormat="1" ht="15.75" hidden="1">
      <c r="B32" s="63"/>
      <c r="C32" s="63"/>
      <c r="D32" s="17" t="s">
        <v>304</v>
      </c>
      <c r="E32" s="102"/>
      <c r="F32" s="102"/>
      <c r="G32" s="102"/>
      <c r="H32" s="82"/>
      <c r="I32" s="82"/>
      <c r="J32" s="102"/>
      <c r="K32" s="102"/>
      <c r="L32" s="102"/>
      <c r="M32" s="102"/>
      <c r="N32" s="102"/>
      <c r="O32" s="102"/>
      <c r="P32" s="102"/>
      <c r="Q32" s="102"/>
    </row>
    <row r="33" spans="2:19" s="44" customFormat="1" ht="15.75" hidden="1">
      <c r="B33" s="63"/>
      <c r="C33" s="63"/>
      <c r="D33" s="17" t="s">
        <v>292</v>
      </c>
      <c r="E33" s="102"/>
      <c r="F33" s="102"/>
      <c r="G33" s="102"/>
      <c r="H33" s="82"/>
      <c r="I33" s="82"/>
      <c r="J33" s="102">
        <f t="shared" ref="J33:J34" si="11">K33+N33</f>
        <v>0</v>
      </c>
      <c r="K33" s="102"/>
      <c r="L33" s="102"/>
      <c r="M33" s="102"/>
      <c r="N33" s="102"/>
      <c r="O33" s="102"/>
      <c r="P33" s="102"/>
      <c r="Q33" s="102">
        <f t="shared" si="2"/>
        <v>0</v>
      </c>
    </row>
    <row r="34" spans="2:19" s="44" customFormat="1" ht="15.75" hidden="1">
      <c r="B34" s="63"/>
      <c r="C34" s="63"/>
      <c r="D34" s="17" t="s">
        <v>298</v>
      </c>
      <c r="E34" s="102"/>
      <c r="F34" s="102"/>
      <c r="G34" s="102"/>
      <c r="H34" s="82"/>
      <c r="I34" s="82"/>
      <c r="J34" s="102">
        <f t="shared" si="11"/>
        <v>0</v>
      </c>
      <c r="K34" s="102"/>
      <c r="L34" s="102"/>
      <c r="M34" s="102"/>
      <c r="N34" s="102"/>
      <c r="O34" s="102"/>
      <c r="P34" s="102"/>
      <c r="Q34" s="102">
        <f t="shared" si="2"/>
        <v>0</v>
      </c>
    </row>
    <row r="35" spans="2:19" ht="15.75" hidden="1">
      <c r="B35" s="21" t="s">
        <v>140</v>
      </c>
      <c r="C35" s="21" t="s">
        <v>48</v>
      </c>
      <c r="D35" s="15" t="s">
        <v>274</v>
      </c>
      <c r="E35" s="82"/>
      <c r="F35" s="82"/>
      <c r="G35" s="82"/>
      <c r="H35" s="82"/>
      <c r="I35" s="82"/>
      <c r="J35" s="82">
        <f>K35+N35</f>
        <v>0</v>
      </c>
      <c r="K35" s="82"/>
      <c r="L35" s="82"/>
      <c r="M35" s="82"/>
      <c r="N35" s="82"/>
      <c r="O35" s="82"/>
      <c r="P35" s="82"/>
      <c r="Q35" s="82">
        <f t="shared" si="2"/>
        <v>0</v>
      </c>
    </row>
    <row r="36" spans="2:19" ht="31.5" hidden="1">
      <c r="B36" s="21" t="s">
        <v>232</v>
      </c>
      <c r="C36" s="21"/>
      <c r="D36" s="42" t="s">
        <v>231</v>
      </c>
      <c r="E36" s="82"/>
      <c r="F36" s="82"/>
      <c r="G36" s="82"/>
      <c r="H36" s="82"/>
      <c r="I36" s="82"/>
      <c r="J36" s="82">
        <f t="shared" ref="J36:J38" si="12">K36+N36</f>
        <v>0</v>
      </c>
      <c r="K36" s="82"/>
      <c r="L36" s="82"/>
      <c r="M36" s="82"/>
      <c r="N36" s="82"/>
      <c r="O36" s="82"/>
      <c r="P36" s="82"/>
      <c r="Q36" s="82">
        <f>E36+J36</f>
        <v>0</v>
      </c>
    </row>
    <row r="37" spans="2:19" s="116" customFormat="1" ht="31.5" hidden="1">
      <c r="B37" s="18" t="s">
        <v>235</v>
      </c>
      <c r="C37" s="18" t="s">
        <v>237</v>
      </c>
      <c r="D37" s="17" t="s">
        <v>233</v>
      </c>
      <c r="E37" s="102"/>
      <c r="F37" s="102"/>
      <c r="G37" s="102"/>
      <c r="H37" s="102"/>
      <c r="I37" s="102"/>
      <c r="J37" s="82">
        <f t="shared" si="12"/>
        <v>0</v>
      </c>
      <c r="K37" s="102"/>
      <c r="L37" s="102"/>
      <c r="M37" s="102"/>
      <c r="N37" s="102"/>
      <c r="O37" s="102"/>
      <c r="P37" s="102"/>
      <c r="Q37" s="102">
        <f>E37+J37</f>
        <v>0</v>
      </c>
    </row>
    <row r="38" spans="2:19" s="116" customFormat="1" ht="31.5" hidden="1">
      <c r="B38" s="18" t="s">
        <v>236</v>
      </c>
      <c r="C38" s="18" t="s">
        <v>237</v>
      </c>
      <c r="D38" s="17" t="s">
        <v>234</v>
      </c>
      <c r="E38" s="102"/>
      <c r="F38" s="102"/>
      <c r="G38" s="102"/>
      <c r="H38" s="102"/>
      <c r="I38" s="102"/>
      <c r="J38" s="82">
        <f t="shared" si="12"/>
        <v>0</v>
      </c>
      <c r="K38" s="102"/>
      <c r="L38" s="102"/>
      <c r="M38" s="102"/>
      <c r="N38" s="102"/>
      <c r="O38" s="102"/>
      <c r="P38" s="102"/>
      <c r="Q38" s="102">
        <f>E38+J38</f>
        <v>0</v>
      </c>
    </row>
    <row r="39" spans="2:19" s="116" customFormat="1" ht="15.75" customHeight="1">
      <c r="B39" s="18"/>
      <c r="C39" s="18"/>
      <c r="D39" s="17" t="s">
        <v>323</v>
      </c>
      <c r="E39" s="102"/>
      <c r="F39" s="102"/>
      <c r="G39" s="102"/>
      <c r="H39" s="102"/>
      <c r="I39" s="102"/>
      <c r="J39" s="82"/>
      <c r="K39" s="102"/>
      <c r="L39" s="102"/>
      <c r="M39" s="102"/>
      <c r="N39" s="102"/>
      <c r="O39" s="102"/>
      <c r="P39" s="102"/>
      <c r="Q39" s="102"/>
    </row>
    <row r="40" spans="2:19" s="116" customFormat="1" ht="156" customHeight="1">
      <c r="B40" s="18"/>
      <c r="C40" s="18"/>
      <c r="D40" s="138" t="s">
        <v>324</v>
      </c>
      <c r="E40" s="102">
        <f>F40+I40</f>
        <v>424.94</v>
      </c>
      <c r="F40" s="102">
        <v>424.94</v>
      </c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>
        <f>E40+J40</f>
        <v>424.94</v>
      </c>
    </row>
    <row r="41" spans="2:19" s="116" customFormat="1" ht="111" customHeight="1">
      <c r="B41" s="18"/>
      <c r="C41" s="18"/>
      <c r="D41" s="138" t="s">
        <v>325</v>
      </c>
      <c r="E41" s="102">
        <f>F41+I41</f>
        <v>2961.4</v>
      </c>
      <c r="F41" s="102">
        <v>2961.4</v>
      </c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2">
        <f>E41+J41</f>
        <v>2961.4</v>
      </c>
    </row>
    <row r="42" spans="2:19" s="64" customFormat="1" ht="36.75" customHeight="1">
      <c r="B42" s="62" t="s">
        <v>49</v>
      </c>
      <c r="C42" s="63"/>
      <c r="D42" s="34" t="s">
        <v>13</v>
      </c>
      <c r="E42" s="61">
        <f>E43+E46+E49+E52+E60+E64+E66+E68+E71+E73+E74+E75+E76+E79+E80+E78</f>
        <v>108.2</v>
      </c>
      <c r="F42" s="61">
        <f>F73</f>
        <v>108.2</v>
      </c>
      <c r="G42" s="61">
        <f>G43+G46+G49+G52+G63+G64+G66+G68+G71+G73+G74+G75+G76+G79+G80+G78</f>
        <v>0</v>
      </c>
      <c r="H42" s="61">
        <f>H43+H46+H49+H52+H63+H64+H66+H68+H71+H73+H74+H75+H76+H79+H80+H78</f>
        <v>0</v>
      </c>
      <c r="I42" s="61"/>
      <c r="J42" s="61">
        <f>N42+K42</f>
        <v>0</v>
      </c>
      <c r="K42" s="61">
        <f t="shared" ref="K42:P42" si="13">K43+K46+K49+K52+K63+K64+K66+K68+K71+K73+K74+K75+K76+K79+K80+K78</f>
        <v>0</v>
      </c>
      <c r="L42" s="61">
        <f t="shared" si="13"/>
        <v>0</v>
      </c>
      <c r="M42" s="61">
        <f t="shared" si="13"/>
        <v>0</v>
      </c>
      <c r="N42" s="61">
        <f t="shared" si="13"/>
        <v>0</v>
      </c>
      <c r="O42" s="61">
        <f t="shared" si="13"/>
        <v>0</v>
      </c>
      <c r="P42" s="61">
        <f t="shared" si="13"/>
        <v>0</v>
      </c>
      <c r="Q42" s="85">
        <f t="shared" si="2"/>
        <v>108.2</v>
      </c>
      <c r="S42" s="65"/>
    </row>
    <row r="43" spans="2:19" s="115" customFormat="1" ht="94.5" hidden="1">
      <c r="B43" s="30" t="s">
        <v>50</v>
      </c>
      <c r="C43" s="30"/>
      <c r="D43" s="34" t="s">
        <v>51</v>
      </c>
      <c r="E43" s="61">
        <f>E44+E45</f>
        <v>0</v>
      </c>
      <c r="F43" s="61"/>
      <c r="G43" s="61">
        <f t="shared" ref="G43:P45" si="14">G44+G45</f>
        <v>0</v>
      </c>
      <c r="H43" s="61">
        <f t="shared" si="14"/>
        <v>0</v>
      </c>
      <c r="I43" s="61"/>
      <c r="J43" s="61">
        <f t="shared" si="14"/>
        <v>0</v>
      </c>
      <c r="K43" s="61">
        <f t="shared" si="14"/>
        <v>0</v>
      </c>
      <c r="L43" s="61">
        <f t="shared" si="14"/>
        <v>0</v>
      </c>
      <c r="M43" s="61">
        <f t="shared" si="14"/>
        <v>0</v>
      </c>
      <c r="N43" s="61">
        <f t="shared" si="14"/>
        <v>0</v>
      </c>
      <c r="O43" s="61">
        <f t="shared" si="14"/>
        <v>0</v>
      </c>
      <c r="P43" s="61">
        <f t="shared" si="14"/>
        <v>0</v>
      </c>
      <c r="Q43" s="85">
        <f t="shared" si="2"/>
        <v>0</v>
      </c>
      <c r="S43" s="117"/>
    </row>
    <row r="44" spans="2:19" ht="47.25" hidden="1">
      <c r="B44" s="21" t="s">
        <v>52</v>
      </c>
      <c r="C44" s="21" t="s">
        <v>34</v>
      </c>
      <c r="D44" s="17" t="s">
        <v>176</v>
      </c>
      <c r="E44" s="80"/>
      <c r="F44" s="80"/>
      <c r="G44" s="80"/>
      <c r="H44" s="80"/>
      <c r="I44" s="80"/>
      <c r="J44" s="61">
        <f t="shared" si="14"/>
        <v>0</v>
      </c>
      <c r="K44" s="80"/>
      <c r="L44" s="80"/>
      <c r="M44" s="80"/>
      <c r="N44" s="61">
        <f t="shared" si="14"/>
        <v>0</v>
      </c>
      <c r="O44" s="80"/>
      <c r="P44" s="80"/>
      <c r="Q44" s="82">
        <f t="shared" si="2"/>
        <v>0</v>
      </c>
    </row>
    <row r="45" spans="2:19" ht="47.25" hidden="1">
      <c r="B45" s="21" t="s">
        <v>85</v>
      </c>
      <c r="C45" s="21" t="s">
        <v>36</v>
      </c>
      <c r="D45" s="17" t="s">
        <v>103</v>
      </c>
      <c r="E45" s="80"/>
      <c r="F45" s="80"/>
      <c r="G45" s="80"/>
      <c r="H45" s="80"/>
      <c r="I45" s="80"/>
      <c r="J45" s="61">
        <f t="shared" si="14"/>
        <v>0</v>
      </c>
      <c r="K45" s="80"/>
      <c r="L45" s="80"/>
      <c r="M45" s="80"/>
      <c r="N45" s="61">
        <f t="shared" si="14"/>
        <v>0</v>
      </c>
      <c r="O45" s="80"/>
      <c r="P45" s="80"/>
      <c r="Q45" s="80">
        <f t="shared" si="2"/>
        <v>0</v>
      </c>
    </row>
    <row r="46" spans="2:19" s="115" customFormat="1" ht="47.25" hidden="1">
      <c r="B46" s="30" t="s">
        <v>53</v>
      </c>
      <c r="C46" s="30"/>
      <c r="D46" s="34" t="s">
        <v>54</v>
      </c>
      <c r="E46" s="61">
        <f>E47+E48</f>
        <v>0</v>
      </c>
      <c r="F46" s="61"/>
      <c r="G46" s="61">
        <f t="shared" ref="G46:P48" si="15">G47+G48</f>
        <v>0</v>
      </c>
      <c r="H46" s="61">
        <f>H47+H48</f>
        <v>0</v>
      </c>
      <c r="I46" s="61"/>
      <c r="J46" s="61">
        <f t="shared" si="15"/>
        <v>0</v>
      </c>
      <c r="K46" s="61">
        <f t="shared" si="15"/>
        <v>0</v>
      </c>
      <c r="L46" s="61">
        <f t="shared" si="15"/>
        <v>0</v>
      </c>
      <c r="M46" s="61">
        <f t="shared" si="15"/>
        <v>0</v>
      </c>
      <c r="N46" s="61">
        <f t="shared" si="15"/>
        <v>0</v>
      </c>
      <c r="O46" s="61">
        <f t="shared" si="15"/>
        <v>0</v>
      </c>
      <c r="P46" s="61">
        <f t="shared" si="15"/>
        <v>0</v>
      </c>
      <c r="Q46" s="61">
        <f t="shared" si="2"/>
        <v>0</v>
      </c>
    </row>
    <row r="47" spans="2:19" ht="63" hidden="1">
      <c r="B47" s="21" t="s">
        <v>55</v>
      </c>
      <c r="C47" s="21" t="s">
        <v>34</v>
      </c>
      <c r="D47" s="17" t="s">
        <v>177</v>
      </c>
      <c r="E47" s="80"/>
      <c r="F47" s="80"/>
      <c r="G47" s="80"/>
      <c r="H47" s="80"/>
      <c r="I47" s="80"/>
      <c r="J47" s="61"/>
      <c r="K47" s="80"/>
      <c r="L47" s="80"/>
      <c r="M47" s="80"/>
      <c r="N47" s="61">
        <f t="shared" si="15"/>
        <v>0</v>
      </c>
      <c r="O47" s="80"/>
      <c r="P47" s="80"/>
      <c r="Q47" s="80">
        <f t="shared" si="2"/>
        <v>0</v>
      </c>
    </row>
    <row r="48" spans="2:19" ht="63" hidden="1">
      <c r="B48" s="21" t="s">
        <v>178</v>
      </c>
      <c r="C48" s="21" t="s">
        <v>36</v>
      </c>
      <c r="D48" s="17" t="s">
        <v>104</v>
      </c>
      <c r="E48" s="80"/>
      <c r="F48" s="80"/>
      <c r="G48" s="80"/>
      <c r="H48" s="80"/>
      <c r="I48" s="80"/>
      <c r="J48" s="61"/>
      <c r="K48" s="80"/>
      <c r="L48" s="80"/>
      <c r="M48" s="80"/>
      <c r="N48" s="61">
        <f t="shared" si="15"/>
        <v>0</v>
      </c>
      <c r="O48" s="80"/>
      <c r="P48" s="80"/>
      <c r="Q48" s="80">
        <f t="shared" si="2"/>
        <v>0</v>
      </c>
    </row>
    <row r="49" spans="2:17" s="115" customFormat="1" ht="78.75" hidden="1">
      <c r="B49" s="30" t="s">
        <v>73</v>
      </c>
      <c r="C49" s="30" t="s">
        <v>34</v>
      </c>
      <c r="D49" s="34" t="s">
        <v>179</v>
      </c>
      <c r="E49" s="61">
        <f>E50+E51</f>
        <v>0</v>
      </c>
      <c r="F49" s="61"/>
      <c r="G49" s="61">
        <f t="shared" ref="G49:P49" si="16">G50+G51</f>
        <v>0</v>
      </c>
      <c r="H49" s="61">
        <f t="shared" si="16"/>
        <v>0</v>
      </c>
      <c r="I49" s="61"/>
      <c r="J49" s="61">
        <f>J50+J51</f>
        <v>0</v>
      </c>
      <c r="K49" s="61">
        <f t="shared" si="16"/>
        <v>0</v>
      </c>
      <c r="L49" s="61">
        <f t="shared" si="16"/>
        <v>0</v>
      </c>
      <c r="M49" s="61">
        <f t="shared" si="16"/>
        <v>0</v>
      </c>
      <c r="N49" s="61">
        <f t="shared" si="16"/>
        <v>0</v>
      </c>
      <c r="O49" s="61">
        <f t="shared" si="16"/>
        <v>0</v>
      </c>
      <c r="P49" s="61">
        <f t="shared" si="16"/>
        <v>0</v>
      </c>
      <c r="Q49" s="61">
        <f t="shared" si="2"/>
        <v>0</v>
      </c>
    </row>
    <row r="50" spans="2:17" ht="31.5" hidden="1">
      <c r="B50" s="21" t="s">
        <v>84</v>
      </c>
      <c r="C50" s="21" t="s">
        <v>34</v>
      </c>
      <c r="D50" s="17" t="s">
        <v>180</v>
      </c>
      <c r="E50" s="80"/>
      <c r="F50" s="80"/>
      <c r="G50" s="80"/>
      <c r="H50" s="80"/>
      <c r="I50" s="80"/>
      <c r="J50" s="61"/>
      <c r="K50" s="80"/>
      <c r="L50" s="80"/>
      <c r="M50" s="80"/>
      <c r="N50" s="61"/>
      <c r="O50" s="80"/>
      <c r="P50" s="80"/>
      <c r="Q50" s="80">
        <f t="shared" si="2"/>
        <v>0</v>
      </c>
    </row>
    <row r="51" spans="2:17" ht="31.5" hidden="1">
      <c r="B51" s="21" t="s">
        <v>181</v>
      </c>
      <c r="C51" s="21" t="s">
        <v>74</v>
      </c>
      <c r="D51" s="17" t="s">
        <v>86</v>
      </c>
      <c r="E51" s="80"/>
      <c r="F51" s="80"/>
      <c r="G51" s="80"/>
      <c r="H51" s="80"/>
      <c r="I51" s="80"/>
      <c r="J51" s="61"/>
      <c r="K51" s="80"/>
      <c r="L51" s="80"/>
      <c r="M51" s="80"/>
      <c r="N51" s="61"/>
      <c r="O51" s="80"/>
      <c r="P51" s="80"/>
      <c r="Q51" s="80">
        <f t="shared" si="2"/>
        <v>0</v>
      </c>
    </row>
    <row r="52" spans="2:17" s="115" customFormat="1" ht="47.25" hidden="1" customHeight="1">
      <c r="B52" s="30" t="s">
        <v>87</v>
      </c>
      <c r="C52" s="30"/>
      <c r="D52" s="34" t="s">
        <v>256</v>
      </c>
      <c r="E52" s="61">
        <f>E53+E54+E55+E56+E57+E58+E59</f>
        <v>0</v>
      </c>
      <c r="F52" s="61"/>
      <c r="G52" s="61">
        <f t="shared" ref="G52:Q52" si="17">G53+G54+G55+G56+G57+G58+G59</f>
        <v>0</v>
      </c>
      <c r="H52" s="61">
        <f t="shared" si="17"/>
        <v>0</v>
      </c>
      <c r="I52" s="61"/>
      <c r="J52" s="61">
        <f t="shared" si="17"/>
        <v>0</v>
      </c>
      <c r="K52" s="61">
        <f t="shared" si="17"/>
        <v>0</v>
      </c>
      <c r="L52" s="61">
        <f t="shared" si="17"/>
        <v>0</v>
      </c>
      <c r="M52" s="61">
        <f t="shared" si="17"/>
        <v>0</v>
      </c>
      <c r="N52" s="61">
        <f t="shared" si="17"/>
        <v>0</v>
      </c>
      <c r="O52" s="61">
        <f t="shared" si="17"/>
        <v>0</v>
      </c>
      <c r="P52" s="61">
        <f t="shared" si="17"/>
        <v>0</v>
      </c>
      <c r="Q52" s="61">
        <f t="shared" si="17"/>
        <v>0</v>
      </c>
    </row>
    <row r="53" spans="2:17" s="116" customFormat="1" ht="30" hidden="1" customHeight="1">
      <c r="B53" s="18" t="s">
        <v>88</v>
      </c>
      <c r="C53" s="18" t="s">
        <v>89</v>
      </c>
      <c r="D53" s="75" t="s">
        <v>90</v>
      </c>
      <c r="E53" s="103"/>
      <c r="F53" s="103"/>
      <c r="G53" s="103"/>
      <c r="H53" s="103"/>
      <c r="I53" s="103"/>
      <c r="J53" s="61"/>
      <c r="K53" s="103"/>
      <c r="L53" s="103"/>
      <c r="M53" s="103"/>
      <c r="N53" s="103"/>
      <c r="O53" s="103"/>
      <c r="P53" s="103"/>
      <c r="Q53" s="103">
        <f t="shared" si="2"/>
        <v>0</v>
      </c>
    </row>
    <row r="54" spans="2:17" s="116" customFormat="1" ht="15.75" hidden="1" customHeight="1">
      <c r="B54" s="18" t="s">
        <v>91</v>
      </c>
      <c r="C54" s="18" t="s">
        <v>89</v>
      </c>
      <c r="D54" s="75" t="s">
        <v>101</v>
      </c>
      <c r="E54" s="103"/>
      <c r="F54" s="103"/>
      <c r="G54" s="103"/>
      <c r="H54" s="103"/>
      <c r="I54" s="103"/>
      <c r="J54" s="61"/>
      <c r="K54" s="103"/>
      <c r="L54" s="103"/>
      <c r="M54" s="103"/>
      <c r="N54" s="103"/>
      <c r="O54" s="103"/>
      <c r="P54" s="103"/>
      <c r="Q54" s="103">
        <f t="shared" si="2"/>
        <v>0</v>
      </c>
    </row>
    <row r="55" spans="2:17" s="116" customFormat="1" ht="15.75" hidden="1" customHeight="1">
      <c r="B55" s="18" t="s">
        <v>92</v>
      </c>
      <c r="C55" s="18" t="s">
        <v>89</v>
      </c>
      <c r="D55" s="75" t="s">
        <v>93</v>
      </c>
      <c r="E55" s="103"/>
      <c r="F55" s="103"/>
      <c r="G55" s="103"/>
      <c r="H55" s="103"/>
      <c r="I55" s="103"/>
      <c r="J55" s="61"/>
      <c r="K55" s="103"/>
      <c r="L55" s="103"/>
      <c r="M55" s="103"/>
      <c r="N55" s="103"/>
      <c r="O55" s="103"/>
      <c r="P55" s="103"/>
      <c r="Q55" s="103">
        <f t="shared" si="2"/>
        <v>0</v>
      </c>
    </row>
    <row r="56" spans="2:17" s="116" customFormat="1" ht="30" hidden="1" customHeight="1">
      <c r="B56" s="18" t="s">
        <v>94</v>
      </c>
      <c r="C56" s="18" t="s">
        <v>89</v>
      </c>
      <c r="D56" s="75" t="s">
        <v>95</v>
      </c>
      <c r="E56" s="103"/>
      <c r="F56" s="103"/>
      <c r="G56" s="103"/>
      <c r="H56" s="103"/>
      <c r="I56" s="103"/>
      <c r="J56" s="61"/>
      <c r="K56" s="103"/>
      <c r="L56" s="103"/>
      <c r="M56" s="103"/>
      <c r="N56" s="103"/>
      <c r="O56" s="103"/>
      <c r="P56" s="103"/>
      <c r="Q56" s="103">
        <f t="shared" si="2"/>
        <v>0</v>
      </c>
    </row>
    <row r="57" spans="2:17" s="116" customFormat="1" ht="30" hidden="1" customHeight="1">
      <c r="B57" s="18" t="s">
        <v>96</v>
      </c>
      <c r="C57" s="18" t="s">
        <v>89</v>
      </c>
      <c r="D57" s="75" t="s">
        <v>97</v>
      </c>
      <c r="E57" s="103"/>
      <c r="F57" s="103"/>
      <c r="G57" s="103"/>
      <c r="H57" s="103"/>
      <c r="I57" s="103"/>
      <c r="J57" s="61"/>
      <c r="K57" s="103"/>
      <c r="L57" s="103"/>
      <c r="M57" s="103"/>
      <c r="N57" s="103"/>
      <c r="O57" s="103"/>
      <c r="P57" s="103"/>
      <c r="Q57" s="103">
        <f t="shared" si="2"/>
        <v>0</v>
      </c>
    </row>
    <row r="58" spans="2:17" s="116" customFormat="1" ht="30" hidden="1" customHeight="1">
      <c r="B58" s="18" t="s">
        <v>98</v>
      </c>
      <c r="C58" s="18" t="s">
        <v>89</v>
      </c>
      <c r="D58" s="75" t="s">
        <v>99</v>
      </c>
      <c r="E58" s="103"/>
      <c r="F58" s="103"/>
      <c r="G58" s="103"/>
      <c r="H58" s="103"/>
      <c r="I58" s="103"/>
      <c r="J58" s="61"/>
      <c r="K58" s="103"/>
      <c r="L58" s="103"/>
      <c r="M58" s="103"/>
      <c r="N58" s="103"/>
      <c r="O58" s="103"/>
      <c r="P58" s="103"/>
      <c r="Q58" s="103">
        <f t="shared" si="2"/>
        <v>0</v>
      </c>
    </row>
    <row r="59" spans="2:17" s="116" customFormat="1" ht="30" hidden="1" customHeight="1">
      <c r="B59" s="18" t="s">
        <v>100</v>
      </c>
      <c r="C59" s="18" t="s">
        <v>89</v>
      </c>
      <c r="D59" s="75" t="s">
        <v>102</v>
      </c>
      <c r="E59" s="103"/>
      <c r="F59" s="103"/>
      <c r="G59" s="103"/>
      <c r="H59" s="103"/>
      <c r="I59" s="103"/>
      <c r="J59" s="61"/>
      <c r="K59" s="103"/>
      <c r="L59" s="103"/>
      <c r="M59" s="103"/>
      <c r="N59" s="103"/>
      <c r="O59" s="103"/>
      <c r="P59" s="103"/>
      <c r="Q59" s="103">
        <f t="shared" si="2"/>
        <v>0</v>
      </c>
    </row>
    <row r="60" spans="2:17" s="116" customFormat="1" ht="189" hidden="1" customHeight="1">
      <c r="B60" s="86" t="s">
        <v>116</v>
      </c>
      <c r="C60" s="86"/>
      <c r="D60" s="87" t="s">
        <v>257</v>
      </c>
      <c r="E60" s="61">
        <f>E61+E63+E62</f>
        <v>0</v>
      </c>
      <c r="F60" s="61"/>
      <c r="G60" s="103"/>
      <c r="H60" s="103"/>
      <c r="I60" s="103"/>
      <c r="J60" s="61"/>
      <c r="K60" s="103"/>
      <c r="L60" s="103"/>
      <c r="M60" s="103"/>
      <c r="N60" s="103"/>
      <c r="O60" s="103"/>
      <c r="P60" s="103"/>
      <c r="Q60" s="61">
        <f t="shared" si="2"/>
        <v>0</v>
      </c>
    </row>
    <row r="61" spans="2:17" s="116" customFormat="1" ht="47.25" hidden="1" customHeight="1">
      <c r="B61" s="18" t="s">
        <v>258</v>
      </c>
      <c r="C61" s="18" t="s">
        <v>30</v>
      </c>
      <c r="D61" s="17" t="s">
        <v>260</v>
      </c>
      <c r="E61" s="103"/>
      <c r="F61" s="103"/>
      <c r="G61" s="103"/>
      <c r="H61" s="103"/>
      <c r="I61" s="103"/>
      <c r="J61" s="61"/>
      <c r="K61" s="103"/>
      <c r="L61" s="103"/>
      <c r="M61" s="103"/>
      <c r="N61" s="103"/>
      <c r="O61" s="103"/>
      <c r="P61" s="103"/>
      <c r="Q61" s="103">
        <f t="shared" si="2"/>
        <v>0</v>
      </c>
    </row>
    <row r="62" spans="2:17" s="116" customFormat="1" ht="63" hidden="1" customHeight="1">
      <c r="B62" s="18" t="s">
        <v>282</v>
      </c>
      <c r="C62" s="18" t="s">
        <v>30</v>
      </c>
      <c r="D62" s="17" t="s">
        <v>281</v>
      </c>
      <c r="E62" s="103"/>
      <c r="F62" s="103"/>
      <c r="G62" s="103"/>
      <c r="H62" s="103"/>
      <c r="I62" s="103"/>
      <c r="J62" s="61"/>
      <c r="K62" s="103"/>
      <c r="L62" s="103"/>
      <c r="M62" s="103"/>
      <c r="N62" s="103"/>
      <c r="O62" s="103"/>
      <c r="P62" s="103"/>
      <c r="Q62" s="103">
        <f t="shared" si="2"/>
        <v>0</v>
      </c>
    </row>
    <row r="63" spans="2:17" s="116" customFormat="1" ht="47.25" hidden="1" customHeight="1">
      <c r="B63" s="18" t="s">
        <v>259</v>
      </c>
      <c r="C63" s="18" t="s">
        <v>30</v>
      </c>
      <c r="D63" s="17" t="s">
        <v>261</v>
      </c>
      <c r="E63" s="103"/>
      <c r="F63" s="103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>
        <f t="shared" si="2"/>
        <v>0</v>
      </c>
    </row>
    <row r="64" spans="2:17" s="118" customFormat="1" ht="63" hidden="1" customHeight="1">
      <c r="B64" s="30" t="s">
        <v>112</v>
      </c>
      <c r="C64" s="30"/>
      <c r="D64" s="34" t="s">
        <v>262</v>
      </c>
      <c r="E64" s="61">
        <f>E65</f>
        <v>0</v>
      </c>
      <c r="F64" s="61"/>
      <c r="G64" s="61">
        <f t="shared" ref="G64:P64" si="18">G65+G66</f>
        <v>0</v>
      </c>
      <c r="H64" s="61">
        <f t="shared" si="18"/>
        <v>0</v>
      </c>
      <c r="I64" s="61"/>
      <c r="J64" s="61">
        <f t="shared" si="18"/>
        <v>0</v>
      </c>
      <c r="K64" s="61">
        <f t="shared" si="18"/>
        <v>0</v>
      </c>
      <c r="L64" s="61">
        <f t="shared" si="18"/>
        <v>0</v>
      </c>
      <c r="M64" s="61">
        <f t="shared" si="18"/>
        <v>0</v>
      </c>
      <c r="N64" s="61">
        <f t="shared" si="18"/>
        <v>0</v>
      </c>
      <c r="O64" s="61">
        <f t="shared" si="18"/>
        <v>0</v>
      </c>
      <c r="P64" s="61">
        <f t="shared" si="18"/>
        <v>0</v>
      </c>
      <c r="Q64" s="61">
        <f>E64+J64</f>
        <v>0</v>
      </c>
    </row>
    <row r="65" spans="2:17" s="116" customFormat="1" ht="63" hidden="1" customHeight="1">
      <c r="B65" s="18" t="s">
        <v>113</v>
      </c>
      <c r="C65" s="18" t="s">
        <v>31</v>
      </c>
      <c r="D65" s="17" t="s">
        <v>117</v>
      </c>
      <c r="E65" s="103"/>
      <c r="F65" s="103"/>
      <c r="G65" s="103"/>
      <c r="H65" s="103"/>
      <c r="I65" s="103"/>
      <c r="J65" s="102">
        <f>K65+N65</f>
        <v>0</v>
      </c>
      <c r="K65" s="102"/>
      <c r="L65" s="102"/>
      <c r="M65" s="102"/>
      <c r="N65" s="102"/>
      <c r="O65" s="102"/>
      <c r="P65" s="102"/>
      <c r="Q65" s="102">
        <f t="shared" ref="Q65:Q74" si="19">E65+J65</f>
        <v>0</v>
      </c>
    </row>
    <row r="66" spans="2:17" s="118" customFormat="1" ht="31.5" hidden="1" customHeight="1">
      <c r="B66" s="30" t="s">
        <v>105</v>
      </c>
      <c r="C66" s="30"/>
      <c r="D66" s="34" t="s">
        <v>107</v>
      </c>
      <c r="E66" s="61">
        <f>E67</f>
        <v>0</v>
      </c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>
        <f>E66+J66</f>
        <v>0</v>
      </c>
    </row>
    <row r="67" spans="2:17" s="116" customFormat="1" ht="31.5" hidden="1" customHeight="1">
      <c r="B67" s="18" t="s">
        <v>106</v>
      </c>
      <c r="C67" s="18" t="s">
        <v>89</v>
      </c>
      <c r="D67" s="17" t="s">
        <v>118</v>
      </c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>
        <f t="shared" si="19"/>
        <v>0</v>
      </c>
    </row>
    <row r="68" spans="2:17" s="115" customFormat="1" ht="31.5" hidden="1" customHeight="1">
      <c r="B68" s="30" t="s">
        <v>147</v>
      </c>
      <c r="C68" s="30"/>
      <c r="D68" s="34" t="s">
        <v>109</v>
      </c>
      <c r="E68" s="61">
        <f>E69+E70</f>
        <v>0</v>
      </c>
      <c r="F68" s="61"/>
      <c r="G68" s="61">
        <f>G69+G70</f>
        <v>0</v>
      </c>
      <c r="H68" s="61">
        <f>H69+H70</f>
        <v>0</v>
      </c>
      <c r="I68" s="61"/>
      <c r="J68" s="61"/>
      <c r="K68" s="61"/>
      <c r="L68" s="61"/>
      <c r="M68" s="61"/>
      <c r="N68" s="61"/>
      <c r="O68" s="61"/>
      <c r="P68" s="61"/>
      <c r="Q68" s="61">
        <f>E68+J68</f>
        <v>0</v>
      </c>
    </row>
    <row r="69" spans="2:17" s="116" customFormat="1" ht="47.25" hidden="1" customHeight="1">
      <c r="B69" s="18" t="s">
        <v>148</v>
      </c>
      <c r="C69" s="18" t="s">
        <v>89</v>
      </c>
      <c r="D69" s="17" t="s">
        <v>149</v>
      </c>
      <c r="E69" s="103"/>
      <c r="F69" s="103"/>
      <c r="G69" s="103"/>
      <c r="H69" s="103"/>
      <c r="I69" s="103"/>
      <c r="J69" s="102"/>
      <c r="K69" s="102"/>
      <c r="L69" s="102"/>
      <c r="M69" s="102"/>
      <c r="N69" s="102"/>
      <c r="O69" s="102"/>
      <c r="P69" s="102"/>
      <c r="Q69" s="102">
        <f t="shared" si="19"/>
        <v>0</v>
      </c>
    </row>
    <row r="70" spans="2:17" s="116" customFormat="1" ht="15.75" hidden="1" customHeight="1">
      <c r="B70" s="18" t="s">
        <v>150</v>
      </c>
      <c r="C70" s="18" t="s">
        <v>89</v>
      </c>
      <c r="D70" s="17" t="s">
        <v>119</v>
      </c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>
        <f t="shared" si="19"/>
        <v>0</v>
      </c>
    </row>
    <row r="71" spans="2:17" s="118" customFormat="1" ht="31.5" hidden="1" customHeight="1">
      <c r="B71" s="30" t="s">
        <v>108</v>
      </c>
      <c r="C71" s="30"/>
      <c r="D71" s="34" t="s">
        <v>128</v>
      </c>
      <c r="E71" s="85">
        <f>E72</f>
        <v>0</v>
      </c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>
        <f t="shared" si="19"/>
        <v>0</v>
      </c>
    </row>
    <row r="72" spans="2:17" s="116" customFormat="1" ht="15.75" hidden="1" customHeight="1">
      <c r="B72" s="18" t="s">
        <v>151</v>
      </c>
      <c r="C72" s="18" t="s">
        <v>89</v>
      </c>
      <c r="D72" s="17" t="s">
        <v>129</v>
      </c>
      <c r="E72" s="102"/>
      <c r="F72" s="102"/>
      <c r="G72" s="102"/>
      <c r="H72" s="102"/>
      <c r="I72" s="102"/>
      <c r="J72" s="102"/>
      <c r="K72" s="102"/>
      <c r="L72" s="102"/>
      <c r="M72" s="102"/>
      <c r="N72" s="102"/>
      <c r="O72" s="102"/>
      <c r="P72" s="102"/>
      <c r="Q72" s="102">
        <f>E72</f>
        <v>0</v>
      </c>
    </row>
    <row r="73" spans="2:17" s="116" customFormat="1" ht="86.25" customHeight="1">
      <c r="B73" s="21" t="s">
        <v>110</v>
      </c>
      <c r="C73" s="21" t="s">
        <v>89</v>
      </c>
      <c r="D73" s="15" t="s">
        <v>111</v>
      </c>
      <c r="E73" s="80">
        <v>108.2</v>
      </c>
      <c r="F73" s="80">
        <f>E73</f>
        <v>108.2</v>
      </c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>
        <f t="shared" si="19"/>
        <v>108.2</v>
      </c>
    </row>
    <row r="74" spans="2:17" s="115" customFormat="1" ht="94.5" hidden="1" customHeight="1">
      <c r="B74" s="21" t="s">
        <v>182</v>
      </c>
      <c r="C74" s="18" t="s">
        <v>30</v>
      </c>
      <c r="D74" s="15" t="s">
        <v>263</v>
      </c>
      <c r="E74" s="80"/>
      <c r="F74" s="80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80">
        <f t="shared" si="19"/>
        <v>0</v>
      </c>
    </row>
    <row r="75" spans="2:17" ht="78.75" hidden="1" customHeight="1">
      <c r="B75" s="21" t="s">
        <v>114</v>
      </c>
      <c r="C75" s="21" t="s">
        <v>36</v>
      </c>
      <c r="D75" s="15" t="s">
        <v>264</v>
      </c>
      <c r="E75" s="82"/>
      <c r="F75" s="82"/>
      <c r="G75" s="82"/>
      <c r="H75" s="82"/>
      <c r="I75" s="82"/>
      <c r="J75" s="80"/>
      <c r="K75" s="82"/>
      <c r="L75" s="82"/>
      <c r="M75" s="82"/>
      <c r="N75" s="82"/>
      <c r="O75" s="82"/>
      <c r="P75" s="82"/>
      <c r="Q75" s="82">
        <f t="shared" si="2"/>
        <v>0</v>
      </c>
    </row>
    <row r="76" spans="2:17" s="115" customFormat="1" ht="15.75" hidden="1" customHeight="1">
      <c r="B76" s="30" t="s">
        <v>265</v>
      </c>
      <c r="C76" s="30"/>
      <c r="D76" s="34" t="s">
        <v>115</v>
      </c>
      <c r="E76" s="85">
        <f>E77</f>
        <v>0</v>
      </c>
      <c r="F76" s="85"/>
      <c r="G76" s="85"/>
      <c r="H76" s="85"/>
      <c r="I76" s="85"/>
      <c r="J76" s="61">
        <f>J77</f>
        <v>0</v>
      </c>
      <c r="K76" s="85"/>
      <c r="L76" s="85"/>
      <c r="M76" s="85"/>
      <c r="N76" s="85"/>
      <c r="O76" s="85"/>
      <c r="P76" s="85"/>
      <c r="Q76" s="85">
        <f>Q77</f>
        <v>0</v>
      </c>
    </row>
    <row r="77" spans="2:17" s="116" customFormat="1" ht="47.25" hidden="1" customHeight="1">
      <c r="B77" s="18" t="s">
        <v>266</v>
      </c>
      <c r="C77" s="18" t="s">
        <v>34</v>
      </c>
      <c r="D77" s="17" t="s">
        <v>267</v>
      </c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>
        <f t="shared" si="2"/>
        <v>0</v>
      </c>
    </row>
    <row r="78" spans="2:17" ht="15.75" hidden="1" customHeight="1">
      <c r="B78" s="21" t="s">
        <v>255</v>
      </c>
      <c r="C78" s="21" t="s">
        <v>216</v>
      </c>
      <c r="D78" s="15" t="s">
        <v>217</v>
      </c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102">
        <f t="shared" si="2"/>
        <v>0</v>
      </c>
    </row>
    <row r="79" spans="2:17" ht="15.75" hidden="1" customHeight="1">
      <c r="B79" s="88"/>
      <c r="C79" s="88"/>
      <c r="D79" s="89"/>
      <c r="E79" s="105"/>
      <c r="F79" s="105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102"/>
    </row>
    <row r="80" spans="2:17" ht="15.75" hidden="1" customHeight="1">
      <c r="B80" s="62" t="s">
        <v>268</v>
      </c>
      <c r="C80" s="62"/>
      <c r="D80" s="34" t="s">
        <v>239</v>
      </c>
      <c r="E80" s="61">
        <f t="shared" ref="E80:P80" si="20">E81</f>
        <v>0</v>
      </c>
      <c r="F80" s="61"/>
      <c r="G80" s="61">
        <f t="shared" si="20"/>
        <v>0</v>
      </c>
      <c r="H80" s="61">
        <f t="shared" si="20"/>
        <v>0</v>
      </c>
      <c r="I80" s="61"/>
      <c r="J80" s="61">
        <f t="shared" si="20"/>
        <v>0</v>
      </c>
      <c r="K80" s="61">
        <f t="shared" si="20"/>
        <v>0</v>
      </c>
      <c r="L80" s="61">
        <f t="shared" si="20"/>
        <v>0</v>
      </c>
      <c r="M80" s="61">
        <f t="shared" si="20"/>
        <v>0</v>
      </c>
      <c r="N80" s="61">
        <f t="shared" si="20"/>
        <v>0</v>
      </c>
      <c r="O80" s="61">
        <f t="shared" si="20"/>
        <v>0</v>
      </c>
      <c r="P80" s="61">
        <f t="shared" si="20"/>
        <v>0</v>
      </c>
      <c r="Q80" s="106">
        <f t="shared" si="2"/>
        <v>0</v>
      </c>
    </row>
    <row r="81" spans="2:18" ht="31.5" hidden="1">
      <c r="B81" s="21" t="s">
        <v>269</v>
      </c>
      <c r="C81" s="21" t="s">
        <v>38</v>
      </c>
      <c r="D81" s="15" t="s">
        <v>270</v>
      </c>
      <c r="E81" s="80"/>
      <c r="F81" s="80"/>
      <c r="G81" s="80"/>
      <c r="H81" s="80"/>
      <c r="I81" s="80"/>
      <c r="J81" s="61"/>
      <c r="K81" s="80"/>
      <c r="L81" s="80"/>
      <c r="M81" s="80"/>
      <c r="N81" s="80"/>
      <c r="O81" s="80"/>
      <c r="P81" s="80"/>
      <c r="Q81" s="80"/>
    </row>
    <row r="82" spans="2:18" s="115" customFormat="1" ht="15.75">
      <c r="B82" s="30" t="s">
        <v>60</v>
      </c>
      <c r="C82" s="30"/>
      <c r="D82" s="76" t="s">
        <v>15</v>
      </c>
      <c r="E82" s="61">
        <f>E83+E84+E85+E86</f>
        <v>323.10000000000002</v>
      </c>
      <c r="F82" s="61">
        <f>F83+F84+F85+F86</f>
        <v>310.45</v>
      </c>
      <c r="G82" s="61">
        <f t="shared" ref="G82:I82" si="21">G83+G84+G85+G86</f>
        <v>0</v>
      </c>
      <c r="H82" s="61">
        <f t="shared" si="21"/>
        <v>0</v>
      </c>
      <c r="I82" s="61">
        <f t="shared" si="21"/>
        <v>12.649999999999999</v>
      </c>
      <c r="J82" s="61">
        <f>K82+N82</f>
        <v>600</v>
      </c>
      <c r="K82" s="61">
        <f>K83+K84+K85+K86</f>
        <v>0</v>
      </c>
      <c r="L82" s="61">
        <f>L83+L84+L85+L86</f>
        <v>0</v>
      </c>
      <c r="M82" s="61"/>
      <c r="N82" s="61">
        <f>N83+N84+N85+N86</f>
        <v>600</v>
      </c>
      <c r="O82" s="61">
        <f>O83+O84+O85+O86</f>
        <v>600</v>
      </c>
      <c r="P82" s="61">
        <f>P83+P84+P85+P86</f>
        <v>600</v>
      </c>
      <c r="Q82" s="61">
        <f t="shared" si="2"/>
        <v>923.1</v>
      </c>
      <c r="R82" s="117"/>
    </row>
    <row r="83" spans="2:18" ht="15.75">
      <c r="B83" s="21" t="s">
        <v>152</v>
      </c>
      <c r="C83" s="21" t="s">
        <v>62</v>
      </c>
      <c r="D83" s="77" t="s">
        <v>155</v>
      </c>
      <c r="E83" s="80">
        <v>30</v>
      </c>
      <c r="F83" s="80">
        <v>30</v>
      </c>
      <c r="G83" s="80"/>
      <c r="H83" s="80"/>
      <c r="I83" s="80"/>
      <c r="J83" s="80">
        <f>N83+K83</f>
        <v>0</v>
      </c>
      <c r="K83" s="80"/>
      <c r="L83" s="80"/>
      <c r="M83" s="80"/>
      <c r="N83" s="80"/>
      <c r="O83" s="80"/>
      <c r="P83" s="80"/>
      <c r="Q83" s="80">
        <f t="shared" si="2"/>
        <v>30</v>
      </c>
    </row>
    <row r="84" spans="2:18" ht="15.75">
      <c r="B84" s="21" t="s">
        <v>153</v>
      </c>
      <c r="C84" s="21" t="s">
        <v>62</v>
      </c>
      <c r="D84" s="77" t="s">
        <v>154</v>
      </c>
      <c r="E84" s="80">
        <v>36.6</v>
      </c>
      <c r="F84" s="80">
        <v>30</v>
      </c>
      <c r="G84" s="80"/>
      <c r="H84" s="80"/>
      <c r="I84" s="80">
        <v>6.6</v>
      </c>
      <c r="J84" s="80">
        <f>K84+N84</f>
        <v>0</v>
      </c>
      <c r="K84" s="80"/>
      <c r="L84" s="80"/>
      <c r="M84" s="80"/>
      <c r="N84" s="80"/>
      <c r="O84" s="80"/>
      <c r="P84" s="80"/>
      <c r="Q84" s="80">
        <f t="shared" si="2"/>
        <v>36.6</v>
      </c>
    </row>
    <row r="85" spans="2:18" ht="45">
      <c r="B85" s="21" t="s">
        <v>61</v>
      </c>
      <c r="C85" s="21" t="s">
        <v>63</v>
      </c>
      <c r="D85" s="77" t="s">
        <v>156</v>
      </c>
      <c r="E85" s="80">
        <f>F85+I85</f>
        <v>256.5</v>
      </c>
      <c r="F85" s="80">
        <f>-6.05+256.5</f>
        <v>250.45</v>
      </c>
      <c r="G85" s="80"/>
      <c r="H85" s="80"/>
      <c r="I85" s="80">
        <v>6.05</v>
      </c>
      <c r="J85" s="80">
        <f>K85+N85</f>
        <v>600</v>
      </c>
      <c r="K85" s="80"/>
      <c r="L85" s="80"/>
      <c r="M85" s="80"/>
      <c r="N85" s="80">
        <v>600</v>
      </c>
      <c r="O85" s="80">
        <v>600</v>
      </c>
      <c r="P85" s="80">
        <v>600</v>
      </c>
      <c r="Q85" s="80">
        <f t="shared" si="2"/>
        <v>856.5</v>
      </c>
    </row>
    <row r="86" spans="2:18" ht="30" hidden="1">
      <c r="B86" s="21" t="s">
        <v>157</v>
      </c>
      <c r="C86" s="21"/>
      <c r="D86" s="77" t="s">
        <v>158</v>
      </c>
      <c r="E86" s="80"/>
      <c r="F86" s="80"/>
      <c r="G86" s="80">
        <f t="shared" ref="G86:H86" si="22">G87+G88</f>
        <v>0</v>
      </c>
      <c r="H86" s="80">
        <f t="shared" si="22"/>
        <v>0</v>
      </c>
      <c r="I86" s="80"/>
      <c r="J86" s="80">
        <f>N86+K86</f>
        <v>0</v>
      </c>
      <c r="K86" s="80">
        <f>K87+K88</f>
        <v>0</v>
      </c>
      <c r="L86" s="80">
        <f t="shared" ref="L86:P86" si="23">L87+L88</f>
        <v>0</v>
      </c>
      <c r="M86" s="80">
        <f t="shared" si="23"/>
        <v>0</v>
      </c>
      <c r="N86" s="80">
        <f t="shared" si="23"/>
        <v>0</v>
      </c>
      <c r="O86" s="80">
        <f t="shared" si="23"/>
        <v>0</v>
      </c>
      <c r="P86" s="80">
        <f t="shared" si="23"/>
        <v>0</v>
      </c>
      <c r="Q86" s="80">
        <f t="shared" si="2"/>
        <v>0</v>
      </c>
    </row>
    <row r="87" spans="2:18" s="116" customFormat="1" ht="30" hidden="1">
      <c r="B87" s="18" t="s">
        <v>248</v>
      </c>
      <c r="C87" s="18" t="s">
        <v>64</v>
      </c>
      <c r="D87" s="75" t="s">
        <v>250</v>
      </c>
      <c r="E87" s="103"/>
      <c r="F87" s="103"/>
      <c r="G87" s="103"/>
      <c r="H87" s="103"/>
      <c r="I87" s="103"/>
      <c r="J87" s="80">
        <f>N87+K87</f>
        <v>0</v>
      </c>
      <c r="K87" s="103"/>
      <c r="L87" s="103"/>
      <c r="M87" s="103"/>
      <c r="N87" s="103"/>
      <c r="O87" s="103"/>
      <c r="P87" s="103"/>
      <c r="Q87" s="103">
        <f t="shared" si="2"/>
        <v>0</v>
      </c>
    </row>
    <row r="88" spans="2:18" s="116" customFormat="1" ht="15.75" hidden="1">
      <c r="B88" s="18" t="s">
        <v>249</v>
      </c>
      <c r="C88" s="18" t="s">
        <v>64</v>
      </c>
      <c r="D88" s="75" t="s">
        <v>251</v>
      </c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>
        <f t="shared" si="2"/>
        <v>0</v>
      </c>
    </row>
    <row r="89" spans="2:18" s="115" customFormat="1" ht="15.75" hidden="1">
      <c r="B89" s="30" t="s">
        <v>65</v>
      </c>
      <c r="C89" s="30"/>
      <c r="D89" s="76" t="s">
        <v>19</v>
      </c>
      <c r="E89" s="61">
        <f>E90+E93+E95</f>
        <v>0</v>
      </c>
      <c r="F89" s="61"/>
      <c r="G89" s="61">
        <f>G90+G93+G95</f>
        <v>0</v>
      </c>
      <c r="H89" s="61">
        <f>H90+H93+H95</f>
        <v>0</v>
      </c>
      <c r="I89" s="61"/>
      <c r="J89" s="61">
        <f>N89+K89</f>
        <v>0</v>
      </c>
      <c r="K89" s="61">
        <f>K93</f>
        <v>0</v>
      </c>
      <c r="L89" s="61"/>
      <c r="M89" s="61"/>
      <c r="N89" s="61">
        <f>N93</f>
        <v>0</v>
      </c>
      <c r="O89" s="61">
        <f>O93</f>
        <v>0</v>
      </c>
      <c r="P89" s="61">
        <f>P93</f>
        <v>0</v>
      </c>
      <c r="Q89" s="61">
        <f t="shared" si="2"/>
        <v>0</v>
      </c>
    </row>
    <row r="90" spans="2:18" ht="15.75" hidden="1">
      <c r="B90" s="21" t="s">
        <v>66</v>
      </c>
      <c r="C90" s="21"/>
      <c r="D90" s="77" t="s">
        <v>67</v>
      </c>
      <c r="E90" s="80">
        <f>E91+E92</f>
        <v>0</v>
      </c>
      <c r="F90" s="80"/>
      <c r="G90" s="80"/>
      <c r="H90" s="80"/>
      <c r="I90" s="80"/>
      <c r="J90" s="80"/>
      <c r="K90" s="80"/>
      <c r="L90" s="80"/>
      <c r="M90" s="80"/>
      <c r="N90" s="80"/>
      <c r="O90" s="80"/>
      <c r="P90" s="80"/>
      <c r="Q90" s="80">
        <f t="shared" si="2"/>
        <v>0</v>
      </c>
    </row>
    <row r="91" spans="2:18" s="116" customFormat="1" ht="30" hidden="1">
      <c r="B91" s="18" t="s">
        <v>68</v>
      </c>
      <c r="C91" s="18" t="s">
        <v>69</v>
      </c>
      <c r="D91" s="75" t="s">
        <v>70</v>
      </c>
      <c r="E91" s="103"/>
      <c r="F91" s="103"/>
      <c r="G91" s="103"/>
      <c r="H91" s="103"/>
      <c r="I91" s="103"/>
      <c r="J91" s="103"/>
      <c r="K91" s="103"/>
      <c r="L91" s="103"/>
      <c r="M91" s="103"/>
      <c r="N91" s="103"/>
      <c r="O91" s="103"/>
      <c r="P91" s="103"/>
      <c r="Q91" s="80">
        <f t="shared" si="2"/>
        <v>0</v>
      </c>
    </row>
    <row r="92" spans="2:18" s="116" customFormat="1" ht="30" hidden="1">
      <c r="B92" s="18" t="s">
        <v>120</v>
      </c>
      <c r="C92" s="18" t="s">
        <v>69</v>
      </c>
      <c r="D92" s="75" t="s">
        <v>121</v>
      </c>
      <c r="E92" s="103"/>
      <c r="F92" s="103"/>
      <c r="G92" s="103"/>
      <c r="H92" s="103"/>
      <c r="I92" s="103"/>
      <c r="J92" s="103"/>
      <c r="K92" s="103"/>
      <c r="L92" s="103"/>
      <c r="M92" s="103"/>
      <c r="N92" s="103"/>
      <c r="O92" s="103"/>
      <c r="P92" s="103"/>
      <c r="Q92" s="103">
        <f>E92+J92</f>
        <v>0</v>
      </c>
    </row>
    <row r="93" spans="2:18" ht="15.75" hidden="1">
      <c r="B93" s="21" t="s">
        <v>126</v>
      </c>
      <c r="C93" s="21"/>
      <c r="D93" s="22" t="s">
        <v>125</v>
      </c>
      <c r="E93" s="80">
        <f>E94</f>
        <v>0</v>
      </c>
      <c r="F93" s="80"/>
      <c r="G93" s="80">
        <f>G94</f>
        <v>0</v>
      </c>
      <c r="H93" s="80">
        <f>H94</f>
        <v>0</v>
      </c>
      <c r="I93" s="80"/>
      <c r="J93" s="80">
        <f>K93+N93</f>
        <v>0</v>
      </c>
      <c r="K93" s="80">
        <f>K94</f>
        <v>0</v>
      </c>
      <c r="L93" s="80"/>
      <c r="M93" s="80"/>
      <c r="N93" s="80">
        <f>N94</f>
        <v>0</v>
      </c>
      <c r="O93" s="80">
        <f>O94</f>
        <v>0</v>
      </c>
      <c r="P93" s="80">
        <f>P94</f>
        <v>0</v>
      </c>
      <c r="Q93" s="80">
        <f>Q94</f>
        <v>0</v>
      </c>
    </row>
    <row r="94" spans="2:18" s="116" customFormat="1" ht="45" hidden="1">
      <c r="B94" s="18" t="s">
        <v>127</v>
      </c>
      <c r="C94" s="18" t="s">
        <v>69</v>
      </c>
      <c r="D94" s="75" t="s">
        <v>130</v>
      </c>
      <c r="E94" s="103"/>
      <c r="F94" s="103"/>
      <c r="G94" s="103"/>
      <c r="H94" s="103"/>
      <c r="I94" s="103"/>
      <c r="J94" s="103">
        <f>K94+N94</f>
        <v>0</v>
      </c>
      <c r="K94" s="103"/>
      <c r="L94" s="103"/>
      <c r="M94" s="103"/>
      <c r="N94" s="103"/>
      <c r="O94" s="103"/>
      <c r="P94" s="103"/>
      <c r="Q94" s="103">
        <f>E94+J94</f>
        <v>0</v>
      </c>
    </row>
    <row r="95" spans="2:18" ht="15.75" hidden="1">
      <c r="B95" s="21" t="s">
        <v>131</v>
      </c>
      <c r="C95" s="21"/>
      <c r="D95" s="77" t="s">
        <v>132</v>
      </c>
      <c r="E95" s="80">
        <f>E96</f>
        <v>0</v>
      </c>
      <c r="F95" s="80"/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80">
        <f>E95+J95</f>
        <v>0</v>
      </c>
    </row>
    <row r="96" spans="2:18" ht="60" hidden="1">
      <c r="B96" s="18" t="s">
        <v>133</v>
      </c>
      <c r="C96" s="18" t="s">
        <v>69</v>
      </c>
      <c r="D96" s="78" t="s">
        <v>134</v>
      </c>
      <c r="E96" s="80"/>
      <c r="F96" s="80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>
        <f>E96</f>
        <v>0</v>
      </c>
    </row>
    <row r="97" spans="1:19" ht="15.75">
      <c r="B97" s="30" t="s">
        <v>56</v>
      </c>
      <c r="C97" s="21"/>
      <c r="D97" s="31" t="s">
        <v>14</v>
      </c>
      <c r="E97" s="61">
        <f>E98+E105+E107</f>
        <v>2580</v>
      </c>
      <c r="F97" s="61">
        <f>F98</f>
        <v>2580</v>
      </c>
      <c r="G97" s="61"/>
      <c r="H97" s="61"/>
      <c r="I97" s="61"/>
      <c r="J97" s="61">
        <f>N97+K97</f>
        <v>620</v>
      </c>
      <c r="K97" s="61"/>
      <c r="L97" s="61"/>
      <c r="M97" s="61"/>
      <c r="N97" s="61">
        <f>N98+N105+N106+N107</f>
        <v>620</v>
      </c>
      <c r="O97" s="61">
        <f t="shared" ref="O97:P97" si="24">O98+O105+O106+O107</f>
        <v>620</v>
      </c>
      <c r="P97" s="61">
        <f t="shared" si="24"/>
        <v>210</v>
      </c>
      <c r="Q97" s="61">
        <f t="shared" si="2"/>
        <v>3200</v>
      </c>
      <c r="S97" s="119">
        <f>N97+N111+N115+N118</f>
        <v>2764.3450800000001</v>
      </c>
    </row>
    <row r="98" spans="1:19" s="44" customFormat="1" ht="31.5">
      <c r="B98" s="63" t="s">
        <v>57</v>
      </c>
      <c r="C98" s="63"/>
      <c r="D98" s="15" t="s">
        <v>244</v>
      </c>
      <c r="E98" s="80">
        <f>E99+E100+E101+E102+E103+E104</f>
        <v>2580</v>
      </c>
      <c r="F98" s="80">
        <f>E98</f>
        <v>2580</v>
      </c>
      <c r="G98" s="80"/>
      <c r="H98" s="80"/>
      <c r="I98" s="80"/>
      <c r="J98" s="80">
        <f>K98+N98</f>
        <v>210</v>
      </c>
      <c r="K98" s="80"/>
      <c r="L98" s="80"/>
      <c r="M98" s="80"/>
      <c r="N98" s="80">
        <f>N99+N100+N101+N102+N103+N104</f>
        <v>210</v>
      </c>
      <c r="O98" s="80">
        <f t="shared" ref="O98:P98" si="25">O99+O100+O101+O102+O103+O104</f>
        <v>210</v>
      </c>
      <c r="P98" s="80">
        <f t="shared" si="25"/>
        <v>210</v>
      </c>
      <c r="Q98" s="80">
        <f>E98+J98</f>
        <v>2790</v>
      </c>
      <c r="R98" s="47"/>
      <c r="S98" s="47"/>
    </row>
    <row r="99" spans="1:19" ht="31.5">
      <c r="A99" s="116">
        <v>200</v>
      </c>
      <c r="B99" s="18" t="s">
        <v>183</v>
      </c>
      <c r="C99" s="18" t="s">
        <v>59</v>
      </c>
      <c r="D99" s="17" t="s">
        <v>245</v>
      </c>
      <c r="E99" s="103">
        <v>160.09153000000001</v>
      </c>
      <c r="F99" s="103">
        <f>E99</f>
        <v>160.09153000000001</v>
      </c>
      <c r="G99" s="103"/>
      <c r="H99" s="103"/>
      <c r="I99" s="103"/>
      <c r="J99" s="103">
        <f>N99+K99</f>
        <v>210</v>
      </c>
      <c r="K99" s="103"/>
      <c r="L99" s="103"/>
      <c r="M99" s="103"/>
      <c r="N99" s="103">
        <v>210</v>
      </c>
      <c r="O99" s="103">
        <v>210</v>
      </c>
      <c r="P99" s="103">
        <v>210</v>
      </c>
      <c r="Q99" s="103">
        <f>E99+J99</f>
        <v>370.09153000000003</v>
      </c>
    </row>
    <row r="100" spans="1:19" ht="46.5" customHeight="1">
      <c r="A100" s="116"/>
      <c r="B100" s="18" t="s">
        <v>187</v>
      </c>
      <c r="C100" s="18" t="s">
        <v>59</v>
      </c>
      <c r="D100" s="51" t="s">
        <v>186</v>
      </c>
      <c r="E100" s="103">
        <v>2580</v>
      </c>
      <c r="F100" s="103">
        <f>E100</f>
        <v>2580</v>
      </c>
      <c r="G100" s="103"/>
      <c r="H100" s="103"/>
      <c r="I100" s="103"/>
      <c r="J100" s="103">
        <f t="shared" ref="J100:J142" si="26">N100+K100</f>
        <v>0</v>
      </c>
      <c r="K100" s="103"/>
      <c r="L100" s="103"/>
      <c r="M100" s="103"/>
      <c r="N100" s="103"/>
      <c r="O100" s="103"/>
      <c r="P100" s="103"/>
      <c r="Q100" s="103">
        <f t="shared" ref="Q100:Q142" si="27">E100+J100</f>
        <v>2580</v>
      </c>
    </row>
    <row r="101" spans="1:19" ht="31.5" hidden="1" customHeight="1">
      <c r="A101" s="116">
        <v>531.4</v>
      </c>
      <c r="B101" s="18" t="s">
        <v>184</v>
      </c>
      <c r="C101" s="18" t="s">
        <v>59</v>
      </c>
      <c r="D101" s="17" t="s">
        <v>185</v>
      </c>
      <c r="E101" s="103"/>
      <c r="F101" s="103"/>
      <c r="G101" s="103"/>
      <c r="H101" s="103"/>
      <c r="I101" s="103"/>
      <c r="J101" s="103">
        <f t="shared" si="26"/>
        <v>0</v>
      </c>
      <c r="K101" s="103"/>
      <c r="L101" s="103"/>
      <c r="M101" s="103"/>
      <c r="N101" s="103"/>
      <c r="O101" s="103"/>
      <c r="P101" s="103"/>
      <c r="Q101" s="103">
        <f t="shared" si="27"/>
        <v>0</v>
      </c>
    </row>
    <row r="102" spans="1:19" ht="31.5">
      <c r="A102" s="116">
        <v>500</v>
      </c>
      <c r="B102" s="18" t="s">
        <v>218</v>
      </c>
      <c r="C102" s="18" t="s">
        <v>59</v>
      </c>
      <c r="D102" s="17" t="s">
        <v>219</v>
      </c>
      <c r="E102" s="103">
        <v>-160.09153000000001</v>
      </c>
      <c r="F102" s="103">
        <f>E102</f>
        <v>-160.09153000000001</v>
      </c>
      <c r="G102" s="103"/>
      <c r="H102" s="103"/>
      <c r="I102" s="103"/>
      <c r="J102" s="103">
        <f t="shared" si="26"/>
        <v>0</v>
      </c>
      <c r="K102" s="103"/>
      <c r="L102" s="103"/>
      <c r="M102" s="103"/>
      <c r="N102" s="103"/>
      <c r="O102" s="103"/>
      <c r="P102" s="103"/>
      <c r="Q102" s="103">
        <f t="shared" si="27"/>
        <v>-160.09153000000001</v>
      </c>
    </row>
    <row r="103" spans="1:19" ht="47.25" hidden="1">
      <c r="A103" s="116">
        <v>500</v>
      </c>
      <c r="B103" s="18" t="s">
        <v>284</v>
      </c>
      <c r="C103" s="18" t="s">
        <v>59</v>
      </c>
      <c r="D103" s="17" t="s">
        <v>285</v>
      </c>
      <c r="E103" s="103"/>
      <c r="F103" s="103"/>
      <c r="G103" s="103"/>
      <c r="H103" s="103"/>
      <c r="I103" s="103"/>
      <c r="J103" s="103">
        <f t="shared" si="26"/>
        <v>0</v>
      </c>
      <c r="K103" s="103"/>
      <c r="L103" s="103"/>
      <c r="M103" s="103"/>
      <c r="N103" s="103"/>
      <c r="O103" s="103"/>
      <c r="P103" s="103"/>
      <c r="Q103" s="103">
        <f t="shared" si="27"/>
        <v>0</v>
      </c>
    </row>
    <row r="104" spans="1:19" ht="47.25" hidden="1">
      <c r="A104" s="116">
        <v>500</v>
      </c>
      <c r="B104" s="18" t="s">
        <v>286</v>
      </c>
      <c r="C104" s="18" t="s">
        <v>59</v>
      </c>
      <c r="D104" s="17" t="s">
        <v>287</v>
      </c>
      <c r="E104" s="103"/>
      <c r="F104" s="103"/>
      <c r="G104" s="103"/>
      <c r="H104" s="103"/>
      <c r="I104" s="103"/>
      <c r="J104" s="103">
        <f t="shared" si="26"/>
        <v>0</v>
      </c>
      <c r="K104" s="103"/>
      <c r="L104" s="103"/>
      <c r="M104" s="103"/>
      <c r="N104" s="103"/>
      <c r="O104" s="103"/>
      <c r="P104" s="103"/>
      <c r="Q104" s="103">
        <f t="shared" si="27"/>
        <v>0</v>
      </c>
    </row>
    <row r="105" spans="1:19" s="44" customFormat="1" ht="21.75" customHeight="1">
      <c r="A105" s="44">
        <f>12448.8+1200+7446.5+300+10705.4+9+860+200+1000+6300-661.2</f>
        <v>39808.5</v>
      </c>
      <c r="B105" s="63" t="s">
        <v>58</v>
      </c>
      <c r="C105" s="63" t="s">
        <v>59</v>
      </c>
      <c r="D105" s="81" t="s">
        <v>175</v>
      </c>
      <c r="E105" s="82"/>
      <c r="F105" s="82"/>
      <c r="G105" s="82"/>
      <c r="H105" s="82"/>
      <c r="I105" s="82"/>
      <c r="J105" s="103">
        <f t="shared" si="26"/>
        <v>410</v>
      </c>
      <c r="K105" s="82"/>
      <c r="L105" s="82"/>
      <c r="M105" s="82"/>
      <c r="N105" s="82">
        <f>140+270</f>
        <v>410</v>
      </c>
      <c r="O105" s="82">
        <f>140+270</f>
        <v>410</v>
      </c>
      <c r="P105" s="82"/>
      <c r="Q105" s="80">
        <f t="shared" si="27"/>
        <v>410</v>
      </c>
    </row>
    <row r="106" spans="1:19" s="44" customFormat="1" ht="47.25" hidden="1">
      <c r="A106" s="44">
        <f>12448.8+1200+7446.5+300+10705.4+9+860+200+1000+6300-661.2</f>
        <v>39808.5</v>
      </c>
      <c r="B106" s="63" t="s">
        <v>288</v>
      </c>
      <c r="C106" s="63" t="s">
        <v>59</v>
      </c>
      <c r="D106" s="81" t="s">
        <v>289</v>
      </c>
      <c r="E106" s="82"/>
      <c r="F106" s="82"/>
      <c r="G106" s="82"/>
      <c r="H106" s="82"/>
      <c r="I106" s="82"/>
      <c r="J106" s="103">
        <f t="shared" si="26"/>
        <v>0</v>
      </c>
      <c r="K106" s="82"/>
      <c r="L106" s="82"/>
      <c r="M106" s="82"/>
      <c r="N106" s="82"/>
      <c r="O106" s="82"/>
      <c r="P106" s="82"/>
      <c r="Q106" s="80">
        <f t="shared" si="27"/>
        <v>0</v>
      </c>
    </row>
    <row r="107" spans="1:19" ht="31.5" hidden="1">
      <c r="A107" s="55">
        <v>490</v>
      </c>
      <c r="B107" s="21" t="s">
        <v>229</v>
      </c>
      <c r="C107" s="21" t="s">
        <v>220</v>
      </c>
      <c r="D107" s="42" t="s">
        <v>230</v>
      </c>
      <c r="E107" s="80"/>
      <c r="F107" s="80"/>
      <c r="G107" s="80"/>
      <c r="H107" s="80"/>
      <c r="I107" s="80"/>
      <c r="J107" s="103">
        <f t="shared" si="26"/>
        <v>0</v>
      </c>
      <c r="K107" s="80"/>
      <c r="L107" s="80"/>
      <c r="M107" s="80"/>
      <c r="N107" s="80"/>
      <c r="O107" s="80"/>
      <c r="P107" s="80"/>
      <c r="Q107" s="80">
        <f t="shared" si="27"/>
        <v>0</v>
      </c>
    </row>
    <row r="108" spans="1:19" s="120" customFormat="1" ht="21.75" customHeight="1">
      <c r="B108" s="30" t="s">
        <v>171</v>
      </c>
      <c r="C108" s="21"/>
      <c r="D108" s="31" t="s">
        <v>172</v>
      </c>
      <c r="E108" s="61">
        <f>E109+E111+E115+E118</f>
        <v>0</v>
      </c>
      <c r="F108" s="61">
        <f t="shared" ref="F108:P108" si="28">F109+F111+F115+F118</f>
        <v>-750</v>
      </c>
      <c r="G108" s="61">
        <f t="shared" si="28"/>
        <v>0</v>
      </c>
      <c r="H108" s="61">
        <f t="shared" si="28"/>
        <v>0</v>
      </c>
      <c r="I108" s="61">
        <f t="shared" si="28"/>
        <v>750</v>
      </c>
      <c r="J108" s="61">
        <f t="shared" si="28"/>
        <v>2144.3450800000001</v>
      </c>
      <c r="K108" s="61">
        <f t="shared" si="28"/>
        <v>0</v>
      </c>
      <c r="L108" s="61">
        <f t="shared" si="28"/>
        <v>0</v>
      </c>
      <c r="M108" s="61">
        <f t="shared" si="28"/>
        <v>0</v>
      </c>
      <c r="N108" s="61">
        <f t="shared" si="28"/>
        <v>2144.3450800000001</v>
      </c>
      <c r="O108" s="61">
        <f t="shared" si="28"/>
        <v>2144.3450800000001</v>
      </c>
      <c r="P108" s="61">
        <f t="shared" si="28"/>
        <v>-1000</v>
      </c>
      <c r="Q108" s="80">
        <f t="shared" si="27"/>
        <v>2144.3450800000001</v>
      </c>
    </row>
    <row r="109" spans="1:19" s="115" customFormat="1" ht="29.25" hidden="1">
      <c r="B109" s="30" t="s">
        <v>169</v>
      </c>
      <c r="C109" s="30"/>
      <c r="D109" s="74" t="s">
        <v>276</v>
      </c>
      <c r="E109" s="85">
        <f>E110</f>
        <v>0</v>
      </c>
      <c r="F109" s="85"/>
      <c r="G109" s="85"/>
      <c r="H109" s="85"/>
      <c r="I109" s="85"/>
      <c r="J109" s="80">
        <f t="shared" si="26"/>
        <v>0</v>
      </c>
      <c r="K109" s="85">
        <f>K110</f>
        <v>0</v>
      </c>
      <c r="L109" s="85">
        <f t="shared" ref="L109:P109" si="29">L110</f>
        <v>0</v>
      </c>
      <c r="M109" s="85">
        <f t="shared" si="29"/>
        <v>0</v>
      </c>
      <c r="N109" s="85">
        <f t="shared" si="29"/>
        <v>0</v>
      </c>
      <c r="O109" s="85">
        <f t="shared" si="29"/>
        <v>0</v>
      </c>
      <c r="P109" s="85">
        <f t="shared" si="29"/>
        <v>0</v>
      </c>
      <c r="Q109" s="80">
        <f t="shared" si="27"/>
        <v>0</v>
      </c>
    </row>
    <row r="110" spans="1:19" s="116" customFormat="1" ht="15.75" hidden="1">
      <c r="B110" s="21" t="s">
        <v>191</v>
      </c>
      <c r="C110" s="21" t="s">
        <v>135</v>
      </c>
      <c r="D110" s="70" t="s">
        <v>170</v>
      </c>
      <c r="E110" s="102"/>
      <c r="F110" s="102"/>
      <c r="G110" s="102"/>
      <c r="H110" s="102"/>
      <c r="I110" s="102"/>
      <c r="J110" s="80">
        <f t="shared" si="26"/>
        <v>0</v>
      </c>
      <c r="K110" s="102"/>
      <c r="L110" s="102"/>
      <c r="M110" s="102"/>
      <c r="N110" s="102"/>
      <c r="O110" s="102"/>
      <c r="P110" s="102"/>
      <c r="Q110" s="80">
        <f t="shared" si="27"/>
        <v>0</v>
      </c>
    </row>
    <row r="111" spans="1:19" ht="18" customHeight="1">
      <c r="B111" s="30" t="s">
        <v>136</v>
      </c>
      <c r="C111" s="21"/>
      <c r="D111" s="31" t="s">
        <v>173</v>
      </c>
      <c r="E111" s="61">
        <f>E112+E113+E114</f>
        <v>0</v>
      </c>
      <c r="F111" s="61">
        <f>F113</f>
        <v>-750</v>
      </c>
      <c r="G111" s="61"/>
      <c r="H111" s="61"/>
      <c r="I111" s="61">
        <f>I113</f>
        <v>750</v>
      </c>
      <c r="J111" s="80">
        <f t="shared" si="26"/>
        <v>-4000</v>
      </c>
      <c r="K111" s="61">
        <f t="shared" ref="K111:M111" si="30">K114</f>
        <v>0</v>
      </c>
      <c r="L111" s="61">
        <f t="shared" si="30"/>
        <v>0</v>
      </c>
      <c r="M111" s="61">
        <f t="shared" si="30"/>
        <v>0</v>
      </c>
      <c r="N111" s="61">
        <f>N112+N113+N114</f>
        <v>-4000</v>
      </c>
      <c r="O111" s="61">
        <f t="shared" ref="O111:P111" si="31">O112+O113+O114</f>
        <v>-4000</v>
      </c>
      <c r="P111" s="61">
        <f t="shared" si="31"/>
        <v>-4000</v>
      </c>
      <c r="Q111" s="80">
        <f t="shared" si="27"/>
        <v>-4000</v>
      </c>
    </row>
    <row r="112" spans="1:19" ht="30" hidden="1">
      <c r="B112" s="21" t="s">
        <v>137</v>
      </c>
      <c r="C112" s="21" t="s">
        <v>72</v>
      </c>
      <c r="D112" s="48" t="s">
        <v>174</v>
      </c>
      <c r="E112" s="80"/>
      <c r="F112" s="80"/>
      <c r="G112" s="80"/>
      <c r="H112" s="80"/>
      <c r="I112" s="80"/>
      <c r="J112" s="80">
        <f t="shared" si="26"/>
        <v>0</v>
      </c>
      <c r="K112" s="80"/>
      <c r="L112" s="80"/>
      <c r="M112" s="80"/>
      <c r="N112" s="80"/>
      <c r="O112" s="80"/>
      <c r="P112" s="80"/>
      <c r="Q112" s="80">
        <f t="shared" si="27"/>
        <v>0</v>
      </c>
    </row>
    <row r="113" spans="1:17" s="115" customFormat="1" ht="31.5">
      <c r="B113" s="21" t="s">
        <v>228</v>
      </c>
      <c r="C113" s="21" t="s">
        <v>72</v>
      </c>
      <c r="D113" s="42" t="s">
        <v>275</v>
      </c>
      <c r="E113" s="80">
        <f>F113+I113</f>
        <v>0</v>
      </c>
      <c r="F113" s="80">
        <v>-750</v>
      </c>
      <c r="G113" s="80"/>
      <c r="H113" s="80"/>
      <c r="I113" s="80">
        <v>750</v>
      </c>
      <c r="J113" s="80">
        <f t="shared" ref="J113:J114" si="32">N113+K113</f>
        <v>0</v>
      </c>
      <c r="K113" s="61"/>
      <c r="L113" s="61"/>
      <c r="M113" s="61"/>
      <c r="N113" s="61"/>
      <c r="O113" s="61"/>
      <c r="P113" s="61"/>
      <c r="Q113" s="80">
        <f t="shared" ref="Q113:Q114" si="33">E113+J113</f>
        <v>0</v>
      </c>
    </row>
    <row r="114" spans="1:17" s="115" customFormat="1" ht="31.5">
      <c r="B114" s="21" t="s">
        <v>252</v>
      </c>
      <c r="C114" s="21" t="s">
        <v>71</v>
      </c>
      <c r="D114" s="39" t="s">
        <v>192</v>
      </c>
      <c r="E114" s="61"/>
      <c r="F114" s="61"/>
      <c r="G114" s="61"/>
      <c r="H114" s="61"/>
      <c r="I114" s="61"/>
      <c r="J114" s="80">
        <f t="shared" si="32"/>
        <v>-4000</v>
      </c>
      <c r="K114" s="61"/>
      <c r="L114" s="61"/>
      <c r="M114" s="61"/>
      <c r="N114" s="80">
        <f>5000-9000</f>
        <v>-4000</v>
      </c>
      <c r="O114" s="80">
        <f>5000-9000</f>
        <v>-4000</v>
      </c>
      <c r="P114" s="80">
        <f>5000-9000</f>
        <v>-4000</v>
      </c>
      <c r="Q114" s="80">
        <f t="shared" si="33"/>
        <v>-4000</v>
      </c>
    </row>
    <row r="115" spans="1:17" ht="29.25">
      <c r="B115" s="30" t="s">
        <v>77</v>
      </c>
      <c r="C115" s="21"/>
      <c r="D115" s="31" t="s">
        <v>163</v>
      </c>
      <c r="E115" s="61">
        <f>E116</f>
        <v>0</v>
      </c>
      <c r="F115" s="61"/>
      <c r="G115" s="61"/>
      <c r="H115" s="61"/>
      <c r="I115" s="61"/>
      <c r="J115" s="80">
        <f t="shared" si="26"/>
        <v>3000</v>
      </c>
      <c r="K115" s="61">
        <f t="shared" ref="K115:P115" si="34">K117</f>
        <v>0</v>
      </c>
      <c r="L115" s="61">
        <f t="shared" si="34"/>
        <v>0</v>
      </c>
      <c r="M115" s="61">
        <f t="shared" si="34"/>
        <v>0</v>
      </c>
      <c r="N115" s="61">
        <f t="shared" si="34"/>
        <v>3000</v>
      </c>
      <c r="O115" s="61">
        <f t="shared" si="34"/>
        <v>3000</v>
      </c>
      <c r="P115" s="61">
        <f t="shared" si="34"/>
        <v>3000</v>
      </c>
      <c r="Q115" s="80">
        <f t="shared" si="27"/>
        <v>3000</v>
      </c>
    </row>
    <row r="116" spans="1:17" ht="30">
      <c r="B116" s="21" t="s">
        <v>164</v>
      </c>
      <c r="C116" s="21"/>
      <c r="D116" s="48" t="s">
        <v>165</v>
      </c>
      <c r="E116" s="80">
        <f>E117</f>
        <v>0</v>
      </c>
      <c r="F116" s="80"/>
      <c r="G116" s="80"/>
      <c r="H116" s="80"/>
      <c r="I116" s="80"/>
      <c r="J116" s="80">
        <f t="shared" si="26"/>
        <v>3000</v>
      </c>
      <c r="K116" s="80">
        <f t="shared" ref="K116:P116" si="35">K117</f>
        <v>0</v>
      </c>
      <c r="L116" s="80">
        <f t="shared" si="35"/>
        <v>0</v>
      </c>
      <c r="M116" s="80">
        <f t="shared" si="35"/>
        <v>0</v>
      </c>
      <c r="N116" s="80">
        <f t="shared" si="35"/>
        <v>3000</v>
      </c>
      <c r="O116" s="80">
        <f t="shared" si="35"/>
        <v>3000</v>
      </c>
      <c r="P116" s="80">
        <f t="shared" si="35"/>
        <v>3000</v>
      </c>
      <c r="Q116" s="80">
        <f t="shared" si="27"/>
        <v>3000</v>
      </c>
    </row>
    <row r="117" spans="1:17" s="116" customFormat="1" ht="47.25">
      <c r="A117" s="116">
        <f>12000+2000</f>
        <v>14000</v>
      </c>
      <c r="B117" s="18" t="s">
        <v>167</v>
      </c>
      <c r="C117" s="18" t="s">
        <v>75</v>
      </c>
      <c r="D117" s="17" t="s">
        <v>166</v>
      </c>
      <c r="E117" s="102"/>
      <c r="F117" s="102"/>
      <c r="G117" s="102"/>
      <c r="H117" s="102"/>
      <c r="I117" s="102"/>
      <c r="J117" s="80">
        <f t="shared" si="26"/>
        <v>3000</v>
      </c>
      <c r="K117" s="102"/>
      <c r="L117" s="102"/>
      <c r="M117" s="102"/>
      <c r="N117" s="102">
        <f>1500+1500</f>
        <v>3000</v>
      </c>
      <c r="O117" s="102">
        <f>1500+1500</f>
        <v>3000</v>
      </c>
      <c r="P117" s="102">
        <f>1500+1500</f>
        <v>3000</v>
      </c>
      <c r="Q117" s="80">
        <f t="shared" si="27"/>
        <v>3000</v>
      </c>
    </row>
    <row r="118" spans="1:17" ht="31.5">
      <c r="B118" s="30" t="s">
        <v>193</v>
      </c>
      <c r="C118" s="18"/>
      <c r="D118" s="53" t="s">
        <v>194</v>
      </c>
      <c r="E118" s="61">
        <f>E119+E120+E121+E122+E123+E124</f>
        <v>0</v>
      </c>
      <c r="F118" s="61"/>
      <c r="G118" s="61"/>
      <c r="H118" s="61"/>
      <c r="I118" s="61"/>
      <c r="J118" s="61">
        <f t="shared" si="26"/>
        <v>3144.3450800000001</v>
      </c>
      <c r="K118" s="61"/>
      <c r="L118" s="61"/>
      <c r="M118" s="61"/>
      <c r="N118" s="61">
        <f>N122+N120+N124</f>
        <v>3144.3450800000001</v>
      </c>
      <c r="O118" s="61">
        <f t="shared" ref="O118:P118" si="36">O122+O120+O124</f>
        <v>3144.3450800000001</v>
      </c>
      <c r="P118" s="61">
        <f t="shared" si="36"/>
        <v>0</v>
      </c>
      <c r="Q118" s="61">
        <f t="shared" si="27"/>
        <v>3144.3450800000001</v>
      </c>
    </row>
    <row r="119" spans="1:17" ht="1.5" hidden="1" customHeight="1">
      <c r="B119" s="21" t="s">
        <v>211</v>
      </c>
      <c r="C119" s="21" t="s">
        <v>212</v>
      </c>
      <c r="D119" s="39" t="s">
        <v>213</v>
      </c>
      <c r="E119" s="80"/>
      <c r="F119" s="80"/>
      <c r="G119" s="80"/>
      <c r="H119" s="80"/>
      <c r="I119" s="80"/>
      <c r="J119" s="80">
        <f t="shared" si="26"/>
        <v>0</v>
      </c>
      <c r="K119" s="80"/>
      <c r="L119" s="80"/>
      <c r="M119" s="80"/>
      <c r="N119" s="80"/>
      <c r="O119" s="80"/>
      <c r="P119" s="80"/>
      <c r="Q119" s="80">
        <f t="shared" si="27"/>
        <v>0</v>
      </c>
    </row>
    <row r="120" spans="1:17" ht="18" customHeight="1">
      <c r="B120" s="21" t="s">
        <v>195</v>
      </c>
      <c r="C120" s="21" t="s">
        <v>78</v>
      </c>
      <c r="D120" s="15" t="s">
        <v>79</v>
      </c>
      <c r="E120" s="80"/>
      <c r="F120" s="80"/>
      <c r="G120" s="80"/>
      <c r="H120" s="80"/>
      <c r="I120" s="80"/>
      <c r="J120" s="80">
        <f t="shared" si="26"/>
        <v>3144.3450800000001</v>
      </c>
      <c r="K120" s="80"/>
      <c r="L120" s="80"/>
      <c r="M120" s="80"/>
      <c r="N120" s="80">
        <f>2079+1000+65.34508</f>
        <v>3144.3450800000001</v>
      </c>
      <c r="O120" s="80">
        <f>2079+1000+65.34508</f>
        <v>3144.3450800000001</v>
      </c>
      <c r="P120" s="80"/>
      <c r="Q120" s="80">
        <f t="shared" si="27"/>
        <v>3144.3450800000001</v>
      </c>
    </row>
    <row r="121" spans="1:17" ht="31.5" hidden="1">
      <c r="B121" s="21" t="s">
        <v>201</v>
      </c>
      <c r="C121" s="21" t="s">
        <v>71</v>
      </c>
      <c r="D121" s="15" t="s">
        <v>202</v>
      </c>
      <c r="E121" s="80"/>
      <c r="F121" s="80"/>
      <c r="G121" s="80"/>
      <c r="H121" s="80"/>
      <c r="I121" s="80"/>
      <c r="J121" s="80">
        <f t="shared" si="26"/>
        <v>0</v>
      </c>
      <c r="K121" s="80"/>
      <c r="L121" s="80"/>
      <c r="M121" s="80"/>
      <c r="N121" s="80"/>
      <c r="O121" s="80"/>
      <c r="P121" s="80"/>
      <c r="Q121" s="80">
        <f t="shared" si="27"/>
        <v>0</v>
      </c>
    </row>
    <row r="122" spans="1:17" ht="31.5" hidden="1">
      <c r="B122" s="21" t="s">
        <v>196</v>
      </c>
      <c r="C122" s="21" t="s">
        <v>71</v>
      </c>
      <c r="D122" s="42" t="s">
        <v>197</v>
      </c>
      <c r="E122" s="80"/>
      <c r="F122" s="80"/>
      <c r="G122" s="80"/>
      <c r="H122" s="80"/>
      <c r="I122" s="80"/>
      <c r="J122" s="80">
        <f t="shared" si="26"/>
        <v>0</v>
      </c>
      <c r="K122" s="80"/>
      <c r="L122" s="80"/>
      <c r="M122" s="80"/>
      <c r="N122" s="80"/>
      <c r="O122" s="80"/>
      <c r="P122" s="80"/>
      <c r="Q122" s="80">
        <f t="shared" si="27"/>
        <v>0</v>
      </c>
    </row>
    <row r="123" spans="1:17" ht="31.5" hidden="1">
      <c r="B123" s="21" t="s">
        <v>208</v>
      </c>
      <c r="C123" s="21" t="s">
        <v>71</v>
      </c>
      <c r="D123" s="42" t="s">
        <v>209</v>
      </c>
      <c r="E123" s="80"/>
      <c r="F123" s="80"/>
      <c r="G123" s="80"/>
      <c r="H123" s="80"/>
      <c r="I123" s="80"/>
      <c r="J123" s="80">
        <f t="shared" si="26"/>
        <v>0</v>
      </c>
      <c r="K123" s="80"/>
      <c r="L123" s="80"/>
      <c r="M123" s="80"/>
      <c r="N123" s="80"/>
      <c r="O123" s="80"/>
      <c r="P123" s="80"/>
      <c r="Q123" s="80">
        <f t="shared" si="27"/>
        <v>0</v>
      </c>
    </row>
    <row r="124" spans="1:17" ht="15.75" hidden="1">
      <c r="B124" s="21" t="s">
        <v>221</v>
      </c>
      <c r="C124" s="21"/>
      <c r="D124" s="42" t="s">
        <v>222</v>
      </c>
      <c r="E124" s="80"/>
      <c r="F124" s="80"/>
      <c r="G124" s="80"/>
      <c r="H124" s="80"/>
      <c r="I124" s="80"/>
      <c r="J124" s="80">
        <f t="shared" si="26"/>
        <v>0</v>
      </c>
      <c r="K124" s="80">
        <f t="shared" ref="K124:P124" si="37">K125+K126</f>
        <v>0</v>
      </c>
      <c r="L124" s="80">
        <f t="shared" si="37"/>
        <v>0</v>
      </c>
      <c r="M124" s="80">
        <f t="shared" si="37"/>
        <v>0</v>
      </c>
      <c r="N124" s="80">
        <f t="shared" si="37"/>
        <v>0</v>
      </c>
      <c r="O124" s="80">
        <f t="shared" si="37"/>
        <v>0</v>
      </c>
      <c r="P124" s="80">
        <f t="shared" si="37"/>
        <v>0</v>
      </c>
      <c r="Q124" s="80">
        <f t="shared" si="27"/>
        <v>0</v>
      </c>
    </row>
    <row r="125" spans="1:17" ht="126" hidden="1">
      <c r="B125" s="21" t="s">
        <v>301</v>
      </c>
      <c r="C125" s="21" t="s">
        <v>71</v>
      </c>
      <c r="D125" s="42" t="s">
        <v>302</v>
      </c>
      <c r="E125" s="80"/>
      <c r="F125" s="80"/>
      <c r="G125" s="80"/>
      <c r="H125" s="80"/>
      <c r="I125" s="80"/>
      <c r="J125" s="80">
        <f t="shared" si="26"/>
        <v>0</v>
      </c>
      <c r="K125" s="80"/>
      <c r="L125" s="80"/>
      <c r="M125" s="80"/>
      <c r="N125" s="80"/>
      <c r="O125" s="80"/>
      <c r="P125" s="80"/>
      <c r="Q125" s="80">
        <f t="shared" si="27"/>
        <v>0</v>
      </c>
    </row>
    <row r="126" spans="1:17" s="111" customFormat="1" ht="31.5" hidden="1">
      <c r="B126" s="93" t="s">
        <v>253</v>
      </c>
      <c r="C126" s="93" t="s">
        <v>71</v>
      </c>
      <c r="D126" s="51" t="s">
        <v>277</v>
      </c>
      <c r="E126" s="107"/>
      <c r="F126" s="107"/>
      <c r="G126" s="107"/>
      <c r="H126" s="107"/>
      <c r="I126" s="107"/>
      <c r="J126" s="80">
        <f t="shared" si="26"/>
        <v>0</v>
      </c>
      <c r="K126" s="107">
        <v>0</v>
      </c>
      <c r="L126" s="107"/>
      <c r="M126" s="107"/>
      <c r="N126" s="107"/>
      <c r="O126" s="107"/>
      <c r="P126" s="107"/>
      <c r="Q126" s="80">
        <f t="shared" si="27"/>
        <v>0</v>
      </c>
    </row>
    <row r="127" spans="1:17" s="84" customFormat="1" ht="21" customHeight="1">
      <c r="B127" s="62" t="s">
        <v>83</v>
      </c>
      <c r="C127" s="62"/>
      <c r="D127" s="34" t="s">
        <v>168</v>
      </c>
      <c r="E127" s="61">
        <f>E128+E130+E136+E138+E132</f>
        <v>136.9</v>
      </c>
      <c r="F127" s="61">
        <f>F128+F130+F136+F138+F132</f>
        <v>136.9</v>
      </c>
      <c r="G127" s="61"/>
      <c r="H127" s="61"/>
      <c r="I127" s="61"/>
      <c r="J127" s="61">
        <f t="shared" si="26"/>
        <v>5000</v>
      </c>
      <c r="K127" s="61">
        <f t="shared" ref="K127:P127" si="38">K136+K138+K132</f>
        <v>-320.89999999999998</v>
      </c>
      <c r="L127" s="61">
        <f t="shared" si="38"/>
        <v>0</v>
      </c>
      <c r="M127" s="61">
        <f t="shared" si="38"/>
        <v>0</v>
      </c>
      <c r="N127" s="61">
        <f t="shared" si="38"/>
        <v>5320.9</v>
      </c>
      <c r="O127" s="61">
        <f t="shared" si="38"/>
        <v>5000</v>
      </c>
      <c r="P127" s="61">
        <f t="shared" si="38"/>
        <v>5000</v>
      </c>
      <c r="Q127" s="61">
        <f t="shared" si="27"/>
        <v>5136.8999999999996</v>
      </c>
    </row>
    <row r="128" spans="1:17" s="84" customFormat="1" ht="47.25" hidden="1">
      <c r="B128" s="62" t="s">
        <v>241</v>
      </c>
      <c r="C128" s="62"/>
      <c r="D128" s="34" t="s">
        <v>240</v>
      </c>
      <c r="E128" s="61">
        <f>E129</f>
        <v>0</v>
      </c>
      <c r="F128" s="61"/>
      <c r="G128" s="61"/>
      <c r="H128" s="61"/>
      <c r="I128" s="61"/>
      <c r="J128" s="80">
        <f t="shared" si="26"/>
        <v>0</v>
      </c>
      <c r="K128" s="61"/>
      <c r="L128" s="61"/>
      <c r="M128" s="61"/>
      <c r="N128" s="61"/>
      <c r="O128" s="61"/>
      <c r="P128" s="61"/>
      <c r="Q128" s="61">
        <f t="shared" si="27"/>
        <v>0</v>
      </c>
    </row>
    <row r="129" spans="2:19" s="44" customFormat="1" ht="47.25" hidden="1">
      <c r="B129" s="63" t="s">
        <v>242</v>
      </c>
      <c r="C129" s="63" t="s">
        <v>243</v>
      </c>
      <c r="D129" s="15" t="s">
        <v>254</v>
      </c>
      <c r="E129" s="80"/>
      <c r="F129" s="80"/>
      <c r="G129" s="80"/>
      <c r="H129" s="80"/>
      <c r="I129" s="80"/>
      <c r="J129" s="80">
        <f t="shared" si="26"/>
        <v>0</v>
      </c>
      <c r="K129" s="80"/>
      <c r="L129" s="80"/>
      <c r="M129" s="80"/>
      <c r="N129" s="80"/>
      <c r="O129" s="80"/>
      <c r="P129" s="80"/>
      <c r="Q129" s="61">
        <f t="shared" si="27"/>
        <v>0</v>
      </c>
    </row>
    <row r="130" spans="2:19" s="84" customFormat="1" ht="21.75" customHeight="1">
      <c r="B130" s="62" t="s">
        <v>318</v>
      </c>
      <c r="C130" s="62"/>
      <c r="D130" s="34" t="s">
        <v>319</v>
      </c>
      <c r="E130" s="61">
        <f>E131</f>
        <v>136.9</v>
      </c>
      <c r="F130" s="61">
        <f>F131</f>
        <v>136.9</v>
      </c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>
        <f t="shared" si="27"/>
        <v>136.9</v>
      </c>
    </row>
    <row r="131" spans="2:19" s="44" customFormat="1" ht="31.5">
      <c r="B131" s="63" t="s">
        <v>320</v>
      </c>
      <c r="C131" s="63" t="s">
        <v>321</v>
      </c>
      <c r="D131" s="15" t="s">
        <v>322</v>
      </c>
      <c r="E131" s="80">
        <v>136.9</v>
      </c>
      <c r="F131" s="80">
        <v>136.9</v>
      </c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>
        <f t="shared" si="27"/>
        <v>136.9</v>
      </c>
    </row>
    <row r="132" spans="2:19" s="44" customFormat="1" ht="31.5">
      <c r="B132" s="62" t="s">
        <v>198</v>
      </c>
      <c r="C132" s="63"/>
      <c r="D132" s="34" t="s">
        <v>199</v>
      </c>
      <c r="E132" s="85"/>
      <c r="F132" s="85"/>
      <c r="G132" s="85"/>
      <c r="H132" s="85"/>
      <c r="I132" s="85"/>
      <c r="J132" s="61">
        <f t="shared" si="26"/>
        <v>5000</v>
      </c>
      <c r="K132" s="85">
        <f>K135+K133</f>
        <v>-320.89999999999998</v>
      </c>
      <c r="L132" s="85"/>
      <c r="M132" s="85"/>
      <c r="N132" s="85">
        <f>N135+N133</f>
        <v>5320.9</v>
      </c>
      <c r="O132" s="85">
        <f>O135+O133</f>
        <v>5000</v>
      </c>
      <c r="P132" s="85">
        <f>P135+P133</f>
        <v>5000</v>
      </c>
      <c r="Q132" s="61">
        <f t="shared" si="27"/>
        <v>5000</v>
      </c>
    </row>
    <row r="133" spans="2:19" s="44" customFormat="1" ht="31.5">
      <c r="B133" s="63" t="s">
        <v>214</v>
      </c>
      <c r="C133" s="63"/>
      <c r="D133" s="42" t="s">
        <v>215</v>
      </c>
      <c r="E133" s="82"/>
      <c r="F133" s="82"/>
      <c r="G133" s="82"/>
      <c r="H133" s="82"/>
      <c r="I133" s="82"/>
      <c r="J133" s="80">
        <f t="shared" si="26"/>
        <v>5000</v>
      </c>
      <c r="K133" s="82"/>
      <c r="L133" s="82"/>
      <c r="M133" s="82"/>
      <c r="N133" s="82">
        <f>N134</f>
        <v>5000</v>
      </c>
      <c r="O133" s="82">
        <f>O134</f>
        <v>5000</v>
      </c>
      <c r="P133" s="82">
        <f>P134</f>
        <v>5000</v>
      </c>
      <c r="Q133" s="80">
        <f t="shared" si="27"/>
        <v>5000</v>
      </c>
    </row>
    <row r="134" spans="2:19" s="116" customFormat="1" ht="31.5">
      <c r="B134" s="18" t="s">
        <v>223</v>
      </c>
      <c r="C134" s="18" t="s">
        <v>224</v>
      </c>
      <c r="D134" s="59" t="s">
        <v>225</v>
      </c>
      <c r="E134" s="102"/>
      <c r="F134" s="102"/>
      <c r="G134" s="102"/>
      <c r="H134" s="102"/>
      <c r="I134" s="102"/>
      <c r="J134" s="80">
        <f t="shared" si="26"/>
        <v>5000</v>
      </c>
      <c r="K134" s="102"/>
      <c r="L134" s="102"/>
      <c r="M134" s="102"/>
      <c r="N134" s="102">
        <v>5000</v>
      </c>
      <c r="O134" s="102">
        <v>5000</v>
      </c>
      <c r="P134" s="102">
        <v>5000</v>
      </c>
      <c r="Q134" s="80">
        <f t="shared" si="27"/>
        <v>5000</v>
      </c>
    </row>
    <row r="135" spans="2:19" ht="31.5">
      <c r="B135" s="21" t="s">
        <v>226</v>
      </c>
      <c r="C135" s="21" t="s">
        <v>81</v>
      </c>
      <c r="D135" s="15" t="s">
        <v>227</v>
      </c>
      <c r="E135" s="61"/>
      <c r="F135" s="61"/>
      <c r="G135" s="61"/>
      <c r="H135" s="61"/>
      <c r="I135" s="61"/>
      <c r="J135" s="80">
        <f>K135+N135</f>
        <v>0</v>
      </c>
      <c r="K135" s="80">
        <v>-320.89999999999998</v>
      </c>
      <c r="L135" s="80"/>
      <c r="M135" s="80"/>
      <c r="N135" s="80">
        <v>320.89999999999998</v>
      </c>
      <c r="O135" s="61"/>
      <c r="P135" s="61"/>
      <c r="Q135" s="80">
        <f t="shared" si="27"/>
        <v>0</v>
      </c>
    </row>
    <row r="136" spans="2:19" s="115" customFormat="1" ht="15.75" hidden="1">
      <c r="B136" s="30" t="s">
        <v>160</v>
      </c>
      <c r="C136" s="30"/>
      <c r="D136" s="67" t="s">
        <v>18</v>
      </c>
      <c r="E136" s="61">
        <f>E137</f>
        <v>0</v>
      </c>
      <c r="F136" s="61"/>
      <c r="G136" s="61"/>
      <c r="H136" s="61"/>
      <c r="I136" s="61"/>
      <c r="J136" s="80">
        <f t="shared" si="26"/>
        <v>0</v>
      </c>
      <c r="K136" s="61">
        <f t="shared" ref="K136:P136" si="39">K137</f>
        <v>0</v>
      </c>
      <c r="L136" s="61">
        <f t="shared" si="39"/>
        <v>0</v>
      </c>
      <c r="M136" s="61">
        <f t="shared" si="39"/>
        <v>0</v>
      </c>
      <c r="N136" s="61">
        <f t="shared" si="39"/>
        <v>0</v>
      </c>
      <c r="O136" s="61">
        <f t="shared" si="39"/>
        <v>0</v>
      </c>
      <c r="P136" s="61">
        <f t="shared" si="39"/>
        <v>0</v>
      </c>
      <c r="Q136" s="80">
        <f t="shared" si="27"/>
        <v>0</v>
      </c>
    </row>
    <row r="137" spans="2:19" ht="31.5" hidden="1">
      <c r="B137" s="21" t="s">
        <v>161</v>
      </c>
      <c r="C137" s="21" t="s">
        <v>76</v>
      </c>
      <c r="D137" s="68" t="s">
        <v>159</v>
      </c>
      <c r="E137" s="80"/>
      <c r="F137" s="80"/>
      <c r="G137" s="80"/>
      <c r="H137" s="80"/>
      <c r="I137" s="80"/>
      <c r="J137" s="80">
        <f t="shared" si="26"/>
        <v>0</v>
      </c>
      <c r="K137" s="80"/>
      <c r="L137" s="80"/>
      <c r="M137" s="80"/>
      <c r="N137" s="80"/>
      <c r="O137" s="80"/>
      <c r="P137" s="80"/>
      <c r="Q137" s="80">
        <f t="shared" si="27"/>
        <v>0</v>
      </c>
    </row>
    <row r="138" spans="2:19" ht="15.75" hidden="1">
      <c r="B138" s="30" t="s">
        <v>203</v>
      </c>
      <c r="C138" s="30" t="s">
        <v>82</v>
      </c>
      <c r="D138" s="69" t="s">
        <v>17</v>
      </c>
      <c r="E138" s="61"/>
      <c r="F138" s="61"/>
      <c r="G138" s="61"/>
      <c r="H138" s="61"/>
      <c r="I138" s="61"/>
      <c r="J138" s="80">
        <f t="shared" si="26"/>
        <v>0</v>
      </c>
      <c r="K138" s="80"/>
      <c r="L138" s="80"/>
      <c r="M138" s="80"/>
      <c r="N138" s="80"/>
      <c r="O138" s="80"/>
      <c r="P138" s="80"/>
      <c r="Q138" s="80">
        <f t="shared" si="27"/>
        <v>0</v>
      </c>
    </row>
    <row r="139" spans="2:19" ht="17.25" customHeight="1">
      <c r="B139" s="30" t="s">
        <v>204</v>
      </c>
      <c r="C139" s="21"/>
      <c r="D139" s="31" t="s">
        <v>205</v>
      </c>
      <c r="E139" s="61">
        <f>E140+E143</f>
        <v>61.600000000000023</v>
      </c>
      <c r="F139" s="61">
        <f t="shared" ref="F139:P139" si="40">F140+F143</f>
        <v>61.600000000000023</v>
      </c>
      <c r="G139" s="61">
        <f t="shared" si="40"/>
        <v>0</v>
      </c>
      <c r="H139" s="61">
        <f t="shared" si="40"/>
        <v>0</v>
      </c>
      <c r="I139" s="61">
        <f t="shared" si="40"/>
        <v>0</v>
      </c>
      <c r="J139" s="61">
        <f t="shared" si="40"/>
        <v>438.4</v>
      </c>
      <c r="K139" s="61">
        <f t="shared" si="40"/>
        <v>0</v>
      </c>
      <c r="L139" s="61">
        <f t="shared" si="40"/>
        <v>0</v>
      </c>
      <c r="M139" s="61">
        <f t="shared" si="40"/>
        <v>0</v>
      </c>
      <c r="N139" s="61">
        <f t="shared" si="40"/>
        <v>438.4</v>
      </c>
      <c r="O139" s="61">
        <f t="shared" si="40"/>
        <v>438.4</v>
      </c>
      <c r="P139" s="61">
        <f t="shared" si="40"/>
        <v>438.4</v>
      </c>
      <c r="Q139" s="61">
        <f t="shared" si="27"/>
        <v>500</v>
      </c>
    </row>
    <row r="140" spans="2:19" ht="0.75" hidden="1" customHeight="1">
      <c r="B140" s="21" t="s">
        <v>80</v>
      </c>
      <c r="C140" s="21"/>
      <c r="D140" s="48" t="s">
        <v>278</v>
      </c>
      <c r="E140" s="80">
        <f>E141</f>
        <v>0</v>
      </c>
      <c r="F140" s="80"/>
      <c r="G140" s="80"/>
      <c r="H140" s="80"/>
      <c r="I140" s="80"/>
      <c r="J140" s="80">
        <f t="shared" si="26"/>
        <v>0</v>
      </c>
      <c r="K140" s="80"/>
      <c r="L140" s="80"/>
      <c r="M140" s="80"/>
      <c r="N140" s="80"/>
      <c r="O140" s="80"/>
      <c r="P140" s="80"/>
      <c r="Q140" s="80">
        <f t="shared" si="27"/>
        <v>0</v>
      </c>
    </row>
    <row r="141" spans="2:19" ht="0.75" hidden="1" customHeight="1">
      <c r="B141" s="21" t="s">
        <v>206</v>
      </c>
      <c r="C141" s="21" t="s">
        <v>26</v>
      </c>
      <c r="D141" s="66" t="s">
        <v>207</v>
      </c>
      <c r="E141" s="80"/>
      <c r="F141" s="80"/>
      <c r="G141" s="80"/>
      <c r="H141" s="80"/>
      <c r="I141" s="80"/>
      <c r="J141" s="80">
        <f t="shared" si="26"/>
        <v>0</v>
      </c>
      <c r="K141" s="80"/>
      <c r="L141" s="80"/>
      <c r="M141" s="80"/>
      <c r="N141" s="80"/>
      <c r="O141" s="80"/>
      <c r="P141" s="80"/>
      <c r="Q141" s="80">
        <f t="shared" si="27"/>
        <v>0</v>
      </c>
    </row>
    <row r="142" spans="2:19" s="115" customFormat="1" ht="0.75" hidden="1" customHeight="1">
      <c r="B142" s="30" t="s">
        <v>305</v>
      </c>
      <c r="C142" s="30" t="s">
        <v>26</v>
      </c>
      <c r="D142" s="69" t="s">
        <v>306</v>
      </c>
      <c r="E142" s="61"/>
      <c r="F142" s="61"/>
      <c r="G142" s="61"/>
      <c r="H142" s="61"/>
      <c r="I142" s="61"/>
      <c r="J142" s="80">
        <f t="shared" si="26"/>
        <v>0</v>
      </c>
      <c r="K142" s="61"/>
      <c r="L142" s="61"/>
      <c r="M142" s="61"/>
      <c r="N142" s="61"/>
      <c r="O142" s="61"/>
      <c r="P142" s="61"/>
      <c r="Q142" s="80">
        <f t="shared" si="27"/>
        <v>0</v>
      </c>
    </row>
    <row r="143" spans="2:19" ht="45">
      <c r="B143" s="21" t="s">
        <v>290</v>
      </c>
      <c r="C143" s="21" t="s">
        <v>26</v>
      </c>
      <c r="D143" s="48" t="s">
        <v>291</v>
      </c>
      <c r="E143" s="80">
        <f>103.6+23+170-35-200</f>
        <v>61.600000000000023</v>
      </c>
      <c r="F143" s="80">
        <f>296.6-35-200</f>
        <v>61.600000000000023</v>
      </c>
      <c r="G143" s="80"/>
      <c r="H143" s="80"/>
      <c r="I143" s="80"/>
      <c r="J143" s="80">
        <f>K143+N143</f>
        <v>438.4</v>
      </c>
      <c r="K143" s="80"/>
      <c r="L143" s="80"/>
      <c r="M143" s="80"/>
      <c r="N143" s="80">
        <f>176.4+27+35+200</f>
        <v>438.4</v>
      </c>
      <c r="O143" s="80">
        <f>203.4+35+200</f>
        <v>438.4</v>
      </c>
      <c r="P143" s="80">
        <f>203.4+35+200</f>
        <v>438.4</v>
      </c>
      <c r="Q143" s="80">
        <f t="shared" ref="Q143" si="41">E143+J143</f>
        <v>500</v>
      </c>
    </row>
    <row r="144" spans="2:19" ht="15.75">
      <c r="B144" s="21"/>
      <c r="C144" s="21"/>
      <c r="D144" s="31" t="s">
        <v>10</v>
      </c>
      <c r="E144" s="61">
        <f>E11+E16+E29+E42+E82+E89+E97+E108+E127+E139</f>
        <v>12578.20652</v>
      </c>
      <c r="F144" s="61">
        <f t="shared" ref="F144:I144" si="42">F11+F16+F29+F42+F82+F89+F97+F108+F127+F139</f>
        <v>11815.55652</v>
      </c>
      <c r="G144" s="61">
        <f t="shared" si="42"/>
        <v>1282.0665200000001</v>
      </c>
      <c r="H144" s="61">
        <f t="shared" si="42"/>
        <v>0</v>
      </c>
      <c r="I144" s="61">
        <f t="shared" si="42"/>
        <v>762.65</v>
      </c>
      <c r="J144" s="61">
        <f t="shared" ref="J144:P144" si="43">J11+J16+J29+J42+J82+J89+J97+J108+J127+J139</f>
        <v>16256.53348</v>
      </c>
      <c r="K144" s="61">
        <f t="shared" si="43"/>
        <v>-320.89999999999998</v>
      </c>
      <c r="L144" s="61">
        <f t="shared" si="43"/>
        <v>0</v>
      </c>
      <c r="M144" s="61">
        <f t="shared" si="43"/>
        <v>0</v>
      </c>
      <c r="N144" s="61">
        <f t="shared" si="43"/>
        <v>16577.43348</v>
      </c>
      <c r="O144" s="61">
        <f t="shared" si="43"/>
        <v>16256.53348</v>
      </c>
      <c r="P144" s="61">
        <f t="shared" si="43"/>
        <v>5624.3334799999993</v>
      </c>
      <c r="Q144" s="61">
        <f>E144+J144</f>
        <v>28834.739999999998</v>
      </c>
      <c r="S144" s="121"/>
    </row>
    <row r="145" spans="2:19" ht="15.75">
      <c r="B145" s="134"/>
      <c r="C145" s="134"/>
      <c r="D145" s="135"/>
      <c r="E145" s="136"/>
      <c r="F145" s="136"/>
      <c r="G145" s="136"/>
      <c r="H145" s="136"/>
      <c r="I145" s="136"/>
      <c r="J145" s="136"/>
      <c r="K145" s="136"/>
      <c r="L145" s="136"/>
      <c r="M145" s="136"/>
      <c r="N145" s="136"/>
      <c r="O145" s="136"/>
      <c r="P145" s="136"/>
      <c r="Q145" s="136"/>
      <c r="S145" s="121"/>
    </row>
    <row r="146" spans="2:19" s="44" customFormat="1" ht="15.75">
      <c r="B146" s="45"/>
      <c r="C146" s="45"/>
      <c r="D146" s="46" t="s">
        <v>327</v>
      </c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 t="s">
        <v>328</v>
      </c>
      <c r="P146" s="47"/>
      <c r="Q146" s="47"/>
    </row>
    <row r="147" spans="2:19">
      <c r="D147" s="54"/>
      <c r="M147" s="56"/>
    </row>
    <row r="148" spans="2:19"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  <c r="O148" s="119"/>
      <c r="P148" s="119"/>
      <c r="Q148" s="119"/>
    </row>
    <row r="149" spans="2:19">
      <c r="E149" s="119"/>
      <c r="F149" s="119"/>
      <c r="G149" s="119"/>
      <c r="H149" s="119"/>
      <c r="I149" s="119"/>
      <c r="J149" s="119"/>
      <c r="K149" s="119"/>
      <c r="L149" s="119"/>
      <c r="M149" s="119"/>
      <c r="N149" s="119"/>
      <c r="O149" s="119"/>
      <c r="P149" s="119"/>
      <c r="Q149" s="119"/>
    </row>
    <row r="150" spans="2:19">
      <c r="E150" s="119"/>
      <c r="F150" s="119"/>
      <c r="G150" s="119"/>
      <c r="H150" s="119"/>
      <c r="I150" s="119"/>
      <c r="J150" s="119"/>
      <c r="K150" s="119"/>
      <c r="L150" s="119"/>
      <c r="M150" s="119"/>
      <c r="N150" s="119"/>
      <c r="O150" s="119"/>
      <c r="P150" s="119"/>
      <c r="Q150" s="119"/>
    </row>
    <row r="151" spans="2:19">
      <c r="E151" s="119"/>
      <c r="F151" s="119"/>
      <c r="G151" s="119"/>
      <c r="H151" s="119"/>
      <c r="I151" s="119"/>
      <c r="J151" s="119"/>
      <c r="K151" s="119"/>
      <c r="L151" s="119"/>
      <c r="M151" s="119"/>
      <c r="N151" s="119"/>
      <c r="O151" s="119"/>
      <c r="P151" s="119"/>
      <c r="Q151" s="119"/>
    </row>
    <row r="152" spans="2:19">
      <c r="E152" s="119"/>
      <c r="F152" s="119"/>
      <c r="G152" s="119"/>
      <c r="H152" s="119"/>
      <c r="I152" s="119"/>
      <c r="J152" s="119"/>
      <c r="K152" s="119"/>
      <c r="L152" s="119"/>
      <c r="M152" s="119"/>
      <c r="N152" s="119"/>
      <c r="O152" s="119"/>
      <c r="P152" s="119"/>
      <c r="Q152" s="119"/>
    </row>
    <row r="153" spans="2:19">
      <c r="E153" s="119"/>
      <c r="F153" s="119"/>
      <c r="G153" s="119"/>
      <c r="H153" s="119"/>
      <c r="I153" s="119"/>
      <c r="J153" s="119"/>
      <c r="K153" s="119"/>
      <c r="L153" s="119"/>
      <c r="M153" s="119"/>
      <c r="N153" s="119"/>
      <c r="O153" s="119"/>
      <c r="P153" s="119"/>
      <c r="Q153" s="119"/>
    </row>
    <row r="154" spans="2:19"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</row>
    <row r="155" spans="2:19">
      <c r="E155" s="119"/>
      <c r="F155" s="119"/>
      <c r="G155" s="119"/>
      <c r="H155" s="119"/>
      <c r="I155" s="119"/>
      <c r="J155" s="119"/>
      <c r="K155" s="119"/>
      <c r="L155" s="119"/>
      <c r="M155" s="119"/>
      <c r="N155" s="119"/>
      <c r="O155" s="119"/>
      <c r="P155" s="119"/>
      <c r="Q155" s="119"/>
    </row>
    <row r="156" spans="2:19">
      <c r="E156" s="119"/>
      <c r="F156" s="119"/>
      <c r="G156" s="119"/>
      <c r="H156" s="119"/>
      <c r="I156" s="119"/>
      <c r="J156" s="119"/>
      <c r="K156" s="119"/>
      <c r="L156" s="119"/>
      <c r="M156" s="119"/>
      <c r="N156" s="119"/>
      <c r="O156" s="119"/>
      <c r="P156" s="119"/>
      <c r="Q156" s="119"/>
    </row>
    <row r="157" spans="2:19">
      <c r="E157" s="119"/>
      <c r="F157" s="119"/>
      <c r="G157" s="119"/>
      <c r="H157" s="119"/>
      <c r="I157" s="119"/>
      <c r="J157" s="119"/>
      <c r="K157" s="119"/>
      <c r="L157" s="119"/>
      <c r="M157" s="119"/>
      <c r="N157" s="119"/>
      <c r="O157" s="119"/>
      <c r="P157" s="119"/>
      <c r="Q157" s="119"/>
    </row>
    <row r="158" spans="2:19">
      <c r="E158" s="119"/>
      <c r="F158" s="119"/>
      <c r="G158" s="119"/>
      <c r="H158" s="119"/>
      <c r="I158" s="119"/>
      <c r="J158" s="119"/>
      <c r="K158" s="119"/>
      <c r="L158" s="119"/>
      <c r="M158" s="119"/>
      <c r="N158" s="119"/>
      <c r="O158" s="119"/>
      <c r="P158" s="119"/>
      <c r="Q158" s="119"/>
    </row>
    <row r="159" spans="2:19">
      <c r="E159" s="119"/>
      <c r="F159" s="119"/>
      <c r="G159" s="119"/>
      <c r="H159" s="119"/>
      <c r="I159" s="119"/>
      <c r="J159" s="119"/>
      <c r="K159" s="119"/>
      <c r="L159" s="119"/>
      <c r="M159" s="119"/>
      <c r="N159" s="119"/>
      <c r="O159" s="119"/>
      <c r="P159" s="119"/>
      <c r="Q159" s="119"/>
    </row>
    <row r="160" spans="2:19">
      <c r="E160" s="119"/>
      <c r="F160" s="119"/>
      <c r="G160" s="119"/>
      <c r="H160" s="119"/>
      <c r="I160" s="119"/>
      <c r="J160" s="119"/>
      <c r="K160" s="119"/>
      <c r="L160" s="119"/>
      <c r="M160" s="119"/>
      <c r="N160" s="119"/>
      <c r="O160" s="119"/>
      <c r="P160" s="119"/>
      <c r="Q160" s="119"/>
    </row>
    <row r="161" spans="4:17">
      <c r="E161" s="119"/>
      <c r="F161" s="119"/>
      <c r="G161" s="119"/>
      <c r="H161" s="119"/>
      <c r="I161" s="119"/>
      <c r="J161" s="119"/>
      <c r="K161" s="119"/>
      <c r="L161" s="119"/>
      <c r="M161" s="119"/>
      <c r="N161" s="119"/>
      <c r="O161" s="119"/>
      <c r="P161" s="119"/>
      <c r="Q161" s="119"/>
    </row>
    <row r="163" spans="4:17">
      <c r="E163" s="119"/>
      <c r="F163" s="119"/>
      <c r="G163" s="119"/>
      <c r="H163" s="119"/>
      <c r="I163" s="119"/>
      <c r="J163" s="119"/>
      <c r="K163" s="119"/>
      <c r="L163" s="119"/>
      <c r="M163" s="119"/>
      <c r="N163" s="119"/>
      <c r="O163" s="119"/>
      <c r="P163" s="119"/>
      <c r="Q163" s="119"/>
    </row>
    <row r="164" spans="4:17">
      <c r="D164" s="122"/>
      <c r="E164" s="123"/>
      <c r="F164" s="123"/>
      <c r="G164" s="123"/>
      <c r="H164" s="123"/>
      <c r="I164" s="123"/>
      <c r="J164" s="123"/>
      <c r="K164" s="123"/>
      <c r="L164" s="123"/>
      <c r="M164" s="123"/>
      <c r="N164" s="123"/>
      <c r="O164" s="123"/>
      <c r="P164" s="123"/>
      <c r="Q164" s="123"/>
    </row>
    <row r="165" spans="4:17">
      <c r="E165" s="119"/>
      <c r="F165" s="119"/>
      <c r="G165" s="119"/>
      <c r="H165" s="119"/>
      <c r="I165" s="119"/>
      <c r="J165" s="119"/>
      <c r="K165" s="119"/>
      <c r="L165" s="119"/>
      <c r="M165" s="119"/>
      <c r="N165" s="119"/>
      <c r="O165" s="119"/>
      <c r="P165" s="119"/>
      <c r="Q165" s="119"/>
    </row>
    <row r="166" spans="4:17">
      <c r="J166" s="119"/>
      <c r="Q166" s="119"/>
    </row>
    <row r="167" spans="4:17">
      <c r="J167" s="119"/>
      <c r="Q167" s="119"/>
    </row>
    <row r="168" spans="4:17">
      <c r="J168" s="119"/>
      <c r="Q168" s="119"/>
    </row>
    <row r="169" spans="4:17">
      <c r="J169" s="119"/>
      <c r="Q169" s="119"/>
    </row>
    <row r="170" spans="4:17">
      <c r="J170" s="119"/>
      <c r="Q170" s="119"/>
    </row>
    <row r="171" spans="4:17">
      <c r="J171" s="119"/>
      <c r="Q171" s="119"/>
    </row>
    <row r="172" spans="4:17">
      <c r="J172" s="119"/>
      <c r="Q172" s="119"/>
    </row>
    <row r="173" spans="4:17">
      <c r="J173" s="119"/>
      <c r="Q173" s="119"/>
    </row>
    <row r="174" spans="4:17">
      <c r="J174" s="119"/>
      <c r="Q174" s="119"/>
    </row>
    <row r="175" spans="4:17">
      <c r="E175" s="119"/>
      <c r="F175" s="119"/>
      <c r="J175" s="119"/>
      <c r="K175" s="119"/>
      <c r="N175" s="119"/>
      <c r="O175" s="119"/>
      <c r="P175" s="119"/>
      <c r="Q175" s="119"/>
    </row>
  </sheetData>
  <dataConsolidate>
    <dataRefs count="10">
      <dataRef ref="F41:P41" sheet="Дод. № 3 " r:id="rId1"/>
      <dataRef ref="F62:P62" sheet="Дод. № 3 " r:id="rId2"/>
      <dataRef ref="F72:P72" sheet="Дод. № 3 " r:id="rId3"/>
      <dataRef ref="F120:P120" sheet="Дод. № 3 " r:id="rId4"/>
      <dataRef ref="F126:P126" sheet="Дод. № 3 " r:id="rId5"/>
      <dataRef ref="F134:P134" sheet="Дод. № 3 " r:id="rId6"/>
      <dataRef ref="F153:P153" sheet="Дод. № 3 " r:id="rId7"/>
      <dataRef ref="F159:P159" sheet="Дод. № 3 " r:id="rId8"/>
      <dataRef ref="F169:P169" sheet="Дод. № 3 " r:id="rId9"/>
      <dataRef ref="F173:P173" sheet="Дод. № 3 " r:id="rId10"/>
    </dataRefs>
  </dataConsolidate>
  <mergeCells count="21">
    <mergeCell ref="N7:N9"/>
    <mergeCell ref="O7:P7"/>
    <mergeCell ref="B4:Q4"/>
    <mergeCell ref="B6:B9"/>
    <mergeCell ref="C6:C9"/>
    <mergeCell ref="D6:D9"/>
    <mergeCell ref="J6:P6"/>
    <mergeCell ref="Q6:Q9"/>
    <mergeCell ref="E7:E9"/>
    <mergeCell ref="G7:H7"/>
    <mergeCell ref="G8:G9"/>
    <mergeCell ref="H8:H9"/>
    <mergeCell ref="L8:L9"/>
    <mergeCell ref="M8:M9"/>
    <mergeCell ref="O8:O9"/>
    <mergeCell ref="F7:F9"/>
    <mergeCell ref="E6:I6"/>
    <mergeCell ref="I7:I9"/>
    <mergeCell ref="K7:K9"/>
    <mergeCell ref="L7:M7"/>
    <mergeCell ref="J7:J9"/>
  </mergeCells>
  <printOptions horizontalCentered="1"/>
  <pageMargins left="0.15748031496062992" right="0.15748031496062992" top="0.70866141732283472" bottom="0.15748031496062992" header="0.31496062992125984" footer="0.15748031496062992"/>
  <pageSetup paperSize="9" scale="48" fitToHeight="7" orientation="landscape" horizontalDpi="4294967293" r:id="rId11"/>
  <rowBreaks count="1" manualBreakCount="1">
    <brk id="41" min="1" max="16" man="1"/>
  </rowBreaks>
  <legacy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початковий</vt:lpstr>
      <vt:lpstr>зміни лютий</vt:lpstr>
      <vt:lpstr>зі змінами 16.02.18</vt:lpstr>
      <vt:lpstr>зміни квітень</vt:lpstr>
      <vt:lpstr>'зміни квітень'!Заголовки_для_печати</vt:lpstr>
      <vt:lpstr>'зміни лютий'!Заголовки_для_печати</vt:lpstr>
      <vt:lpstr>'зміни квітень'!Область_печати</vt:lpstr>
      <vt:lpstr>'зміни лютий'!Область_печати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2018-04-10T06:50:55Z</cp:lastPrinted>
  <dcterms:created xsi:type="dcterms:W3CDTF">2012-12-15T07:40:07Z</dcterms:created>
  <dcterms:modified xsi:type="dcterms:W3CDTF">2018-04-11T08:57:29Z</dcterms:modified>
</cp:coreProperties>
</file>