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9956" windowHeight="9528" activeTab="2"/>
  </bookViews>
  <sheets>
    <sheet name="№1" sheetId="1" r:id="rId1"/>
    <sheet name="№2" sheetId="2" r:id="rId2"/>
    <sheet name="№3" sheetId="3" r:id="rId3"/>
  </sheets>
  <externalReferences>
    <externalReference r:id="rId4"/>
    <externalReference r:id="rId5"/>
  </externalReferences>
  <definedNames>
    <definedName name="_xlnm.Print_Area" localSheetId="0">№1!$A$1:$G$19</definedName>
    <definedName name="_xlnm.Print_Area" localSheetId="1">№2!$C$1:$J$58</definedName>
    <definedName name="_xlnm.Print_Area" localSheetId="2">№3!$B$1:$H$63</definedName>
  </definedNames>
  <calcPr calcId="125725"/>
</workbook>
</file>

<file path=xl/calcChain.xml><?xml version="1.0" encoding="utf-8"?>
<calcChain xmlns="http://schemas.openxmlformats.org/spreadsheetml/2006/main">
  <c r="H48" i="3"/>
  <c r="H47"/>
  <c r="H46"/>
  <c r="H44"/>
  <c r="H50" s="1"/>
  <c r="H42"/>
  <c r="H37" s="1"/>
  <c r="G37"/>
  <c r="H35"/>
  <c r="H28"/>
  <c r="H27"/>
  <c r="H26"/>
  <c r="H29" s="1"/>
  <c r="F26"/>
  <c r="E26"/>
  <c r="H24"/>
  <c r="H23"/>
  <c r="H22"/>
  <c r="H25" s="1"/>
  <c r="F22"/>
  <c r="E22"/>
  <c r="H20"/>
  <c r="G20"/>
  <c r="F20"/>
  <c r="E20"/>
  <c r="H19"/>
  <c r="G19"/>
  <c r="F19"/>
  <c r="E19"/>
  <c r="H18"/>
  <c r="H21" s="1"/>
  <c r="G18"/>
  <c r="G21" s="1"/>
  <c r="F18"/>
  <c r="F21" s="1"/>
  <c r="E18"/>
  <c r="E21" s="1"/>
  <c r="H17"/>
  <c r="F17"/>
  <c r="E17"/>
  <c r="H16"/>
  <c r="G16"/>
  <c r="F16"/>
  <c r="E16"/>
  <c r="H14"/>
  <c r="H13"/>
  <c r="H12"/>
  <c r="H11"/>
  <c r="H10"/>
  <c r="G10"/>
  <c r="F10"/>
  <c r="E10"/>
  <c r="H9"/>
  <c r="G9"/>
  <c r="F9"/>
  <c r="E9"/>
  <c r="H8"/>
  <c r="H36" s="1"/>
  <c r="H43" s="1"/>
  <c r="H45" s="1"/>
  <c r="F8"/>
  <c r="F36" s="1"/>
  <c r="F43" s="1"/>
  <c r="F49" s="1"/>
  <c r="E8"/>
  <c r="E36" s="1"/>
  <c r="E43" s="1"/>
  <c r="E49" s="1"/>
  <c r="F41" i="2"/>
  <c r="F34"/>
  <c r="F35" s="1"/>
  <c r="J23"/>
  <c r="J30" s="1"/>
  <c r="I23"/>
  <c r="H23"/>
  <c r="H30" s="1"/>
  <c r="G23"/>
  <c r="F23"/>
  <c r="J22"/>
  <c r="J26" s="1"/>
  <c r="I22"/>
  <c r="I21" s="1"/>
  <c r="H22"/>
  <c r="H26" s="1"/>
  <c r="G22"/>
  <c r="F22" s="1"/>
  <c r="J21"/>
  <c r="H21"/>
  <c r="F20"/>
  <c r="J18"/>
  <c r="I18"/>
  <c r="H18"/>
  <c r="G18"/>
  <c r="F18"/>
  <c r="J17"/>
  <c r="I17"/>
  <c r="I16" s="1"/>
  <c r="I25" s="1"/>
  <c r="H17"/>
  <c r="G17"/>
  <c r="G16" s="1"/>
  <c r="G25" s="1"/>
  <c r="F17"/>
  <c r="J16"/>
  <c r="J25" s="1"/>
  <c r="H16"/>
  <c r="H25" s="1"/>
  <c r="F16"/>
  <c r="F25" s="1"/>
  <c r="J13"/>
  <c r="J33" s="1"/>
  <c r="I13"/>
  <c r="I33" s="1"/>
  <c r="H13"/>
  <c r="H33" s="1"/>
  <c r="G13"/>
  <c r="G30" s="1"/>
  <c r="J12"/>
  <c r="I12"/>
  <c r="H12"/>
  <c r="F12" s="1"/>
  <c r="G12"/>
  <c r="H51" i="3" l="1"/>
  <c r="H52"/>
  <c r="H38"/>
  <c r="H41"/>
  <c r="F49" i="2"/>
  <c r="G49"/>
  <c r="F26"/>
  <c r="F21"/>
  <c r="J31"/>
  <c r="J51" s="1"/>
  <c r="J50"/>
  <c r="J27"/>
  <c r="J49"/>
  <c r="J48" s="1"/>
  <c r="J24"/>
  <c r="I49"/>
  <c r="H24"/>
  <c r="H49"/>
  <c r="H50"/>
  <c r="H27"/>
  <c r="G20"/>
  <c r="G29" s="1"/>
  <c r="G31" s="1"/>
  <c r="G51" s="1"/>
  <c r="I26"/>
  <c r="I30"/>
  <c r="G33"/>
  <c r="J34"/>
  <c r="H41"/>
  <c r="F13"/>
  <c r="J20"/>
  <c r="J29" s="1"/>
  <c r="I34"/>
  <c r="G41"/>
  <c r="F42"/>
  <c r="F45" s="1"/>
  <c r="I20"/>
  <c r="I29" s="1"/>
  <c r="G26"/>
  <c r="G24" s="1"/>
  <c r="H34"/>
  <c r="J41"/>
  <c r="G21"/>
  <c r="G34"/>
  <c r="I41"/>
  <c r="I37" l="1"/>
  <c r="I36" s="1"/>
  <c r="I35"/>
  <c r="I38" s="1"/>
  <c r="J35"/>
  <c r="J38" s="1"/>
  <c r="J37"/>
  <c r="G35"/>
  <c r="G38" s="1"/>
  <c r="G37"/>
  <c r="I50"/>
  <c r="I27"/>
  <c r="I42"/>
  <c r="I45" s="1"/>
  <c r="I46" s="1"/>
  <c r="I44"/>
  <c r="H37"/>
  <c r="H36" s="1"/>
  <c r="H35"/>
  <c r="H38" s="1"/>
  <c r="G44"/>
  <c r="G43" s="1"/>
  <c r="G42"/>
  <c r="G45" s="1"/>
  <c r="F33"/>
  <c r="F37" s="1"/>
  <c r="F29"/>
  <c r="I54"/>
  <c r="I55" s="1"/>
  <c r="I31"/>
  <c r="I51" s="1"/>
  <c r="F50"/>
  <c r="F27"/>
  <c r="G48"/>
  <c r="H20"/>
  <c r="H29" s="1"/>
  <c r="F30"/>
  <c r="I24"/>
  <c r="F48"/>
  <c r="I28"/>
  <c r="I53"/>
  <c r="I52" s="1"/>
  <c r="G28"/>
  <c r="G50"/>
  <c r="G27"/>
  <c r="H42"/>
  <c r="H45" s="1"/>
  <c r="H44"/>
  <c r="H43" s="1"/>
  <c r="J44"/>
  <c r="J43" s="1"/>
  <c r="J42"/>
  <c r="J45" s="1"/>
  <c r="J46" s="1"/>
  <c r="J28"/>
  <c r="F38"/>
  <c r="F39" s="1"/>
  <c r="H48"/>
  <c r="F44"/>
  <c r="F43" s="1"/>
  <c r="I48"/>
  <c r="F24"/>
  <c r="G39" l="1"/>
  <c r="G54"/>
  <c r="H28"/>
  <c r="H53"/>
  <c r="H31"/>
  <c r="H51" s="1"/>
  <c r="F46"/>
  <c r="G46"/>
  <c r="I43"/>
  <c r="G36"/>
  <c r="I39"/>
  <c r="F54"/>
  <c r="F31"/>
  <c r="F51" s="1"/>
  <c r="J39"/>
  <c r="J54"/>
  <c r="F36"/>
  <c r="F53"/>
  <c r="F52" s="1"/>
  <c r="F28"/>
  <c r="H39"/>
  <c r="H54"/>
  <c r="H55" s="1"/>
  <c r="J53"/>
  <c r="J52" s="1"/>
  <c r="H46"/>
  <c r="G53"/>
  <c r="G52" s="1"/>
  <c r="J36"/>
  <c r="J55" l="1"/>
  <c r="G55"/>
  <c r="F55"/>
  <c r="H52"/>
  <c r="K52" l="1"/>
  <c r="F54" i="3"/>
  <c r="E54"/>
  <c r="I44"/>
  <c r="J44" s="1"/>
  <c r="H55"/>
  <c r="I10"/>
  <c r="I36" s="1"/>
  <c r="L52" i="2"/>
  <c r="L43"/>
  <c r="L36"/>
  <c r="L28"/>
  <c r="L23"/>
  <c r="K50" i="3" l="1"/>
  <c r="K36" i="2"/>
  <c r="K43"/>
  <c r="K28" l="1"/>
  <c r="H53" i="3" l="1"/>
  <c r="H58" s="1"/>
  <c r="H57"/>
  <c r="H56"/>
</calcChain>
</file>

<file path=xl/sharedStrings.xml><?xml version="1.0" encoding="utf-8"?>
<sst xmlns="http://schemas.openxmlformats.org/spreadsheetml/2006/main" count="329" uniqueCount="205">
  <si>
    <t>Двоставкові тарифи на теплову енергію, її виробництво, транспортування, постачання комунального підприємства "Чорноморськтеплоенерго" Чорноморської міської ради Одеської області</t>
  </si>
  <si>
    <t>з ПДВ</t>
  </si>
  <si>
    <t>Назва</t>
  </si>
  <si>
    <t>од. виміру</t>
  </si>
  <si>
    <t>Населення</t>
  </si>
  <si>
    <t>Бюджетні організації</t>
  </si>
  <si>
    <t>Релігійні організації</t>
  </si>
  <si>
    <t>Інші споживачі</t>
  </si>
  <si>
    <t xml:space="preserve">Теплова енергія, всього, </t>
  </si>
  <si>
    <t>Умовно-змінна частина двоставкового тарифу на теплову енергію</t>
  </si>
  <si>
    <t>грн/Гкал</t>
  </si>
  <si>
    <t xml:space="preserve">Умовно-постійна частина двоставкового тарифу на теплову енергію – місячна абонентська плата на одиницю теплового навантаження </t>
  </si>
  <si>
    <t>грн / Гкал /год</t>
  </si>
  <si>
    <r>
      <t xml:space="preserve">В тому числі,
                                </t>
    </r>
    <r>
      <rPr>
        <b/>
        <i/>
        <sz val="11"/>
        <rFont val="Times New Roman"/>
        <family val="1"/>
        <charset val="204"/>
      </rPr>
      <t>Виробництво</t>
    </r>
  </si>
  <si>
    <t>Транспортування</t>
  </si>
  <si>
    <t>Постачання</t>
  </si>
  <si>
    <t>Керуючий справами</t>
  </si>
  <si>
    <t>Лубковський І. А.</t>
  </si>
  <si>
    <t>Додаток 2</t>
  </si>
  <si>
    <t>до рішення виконавчого комітету</t>
  </si>
  <si>
    <t>Без ПДВ</t>
  </si>
  <si>
    <t>N з/п </t>
  </si>
  <si>
    <t>Найменування показника </t>
  </si>
  <si>
    <t>Одиниця виміру </t>
  </si>
  <si>
    <t>Сумарні та середньозва-жені показники </t>
  </si>
  <si>
    <t>На потреби споживачів: </t>
  </si>
  <si>
    <t>населення </t>
  </si>
  <si>
    <t>релігійних організацій</t>
  </si>
  <si>
    <t>бюджетних установ </t>
  </si>
  <si>
    <t>інших споживачів </t>
  </si>
  <si>
    <t xml:space="preserve"> Обсяг реалізації теплової енергії власним споживачам</t>
  </si>
  <si>
    <t>Гкал</t>
  </si>
  <si>
    <t xml:space="preserve"> Теплове навантаження об’єктів теплоспоживання власних споживачів</t>
  </si>
  <si>
    <t>Гкал/год</t>
  </si>
  <si>
    <t>Виробництво теплової енергії</t>
  </si>
  <si>
    <t>Повна планова собівартість виробництва теплової енергії, усього, у т.ч.:</t>
  </si>
  <si>
    <t>тис. грн</t>
  </si>
  <si>
    <t>3.1</t>
  </si>
  <si>
    <t>умовно змінні витрати, усього, у т.ч.:</t>
  </si>
  <si>
    <t>3.1.1</t>
  </si>
  <si>
    <t>витрати на технологічне паливо для виробництва теплової енергії котельнями</t>
  </si>
  <si>
    <t>3.1.2</t>
  </si>
  <si>
    <t>витрати на технологічну електроенергію для виробництва теплової енергії котельнями</t>
  </si>
  <si>
    <t>3.1.3</t>
  </si>
  <si>
    <t>покупна теплова енергія  та  собівартість теплової енергії власних ТЕЦ, ТЕС, АЕС, когенераційних установок</t>
  </si>
  <si>
    <t>3.2</t>
  </si>
  <si>
    <t>умовно постійні витрати, усього – решта витрат повної планової собівартості виробництва теплової енергії</t>
  </si>
  <si>
    <t>Плановий прибуток в тарифах на      виробництво теплової енергії, усього, у т.ч.:</t>
  </si>
  <si>
    <t>4.1</t>
  </si>
  <si>
    <t>в умовно-змінній частині</t>
  </si>
  <si>
    <t>4.2</t>
  </si>
  <si>
    <t>в умовно-постійній частині</t>
  </si>
  <si>
    <t>умовно-змінна частина двоставкового тарифу на виробництво теплової енергії, у т.ч.:</t>
  </si>
  <si>
    <t>5.1</t>
  </si>
  <si>
    <t>складова собівартості (пункт 3.1/ пункт 1)</t>
  </si>
  <si>
    <t>5.2</t>
  </si>
  <si>
    <t>складова прибутку (пункт 4.1/ пункт 1)</t>
  </si>
  <si>
    <t>5.3</t>
  </si>
  <si>
    <t>рівень рентабельності</t>
  </si>
  <si>
    <t>%</t>
  </si>
  <si>
    <t>Умовно-постійна частина двоставкового тарифу на виробництво теплової енергії – місячна абонентська плата на одиницю теплового навантаження, у т.ч.:</t>
  </si>
  <si>
    <t>грн/Гкал /год</t>
  </si>
  <si>
    <t>6.1</t>
  </si>
  <si>
    <t>складова собівартості (пункт 3.2/ пункт 2/12)</t>
  </si>
  <si>
    <t>6.2</t>
  </si>
  <si>
    <t>складова прибутку (пункт 4.2/ пункт 2/12)</t>
  </si>
  <si>
    <t>грн./Гкал/год</t>
  </si>
  <si>
    <t>6.3</t>
  </si>
  <si>
    <t>Транспортування теплової енергії</t>
  </si>
  <si>
    <t>Теплове навантаження об’єктів теплоспоживання власних споживачів та споживачів інших власників теплової енергії, яка транспортується мережами ліцензіата</t>
  </si>
  <si>
    <t>Повна планова собівартість транспортування теплової енергії, усього – умовно-постійні витрати</t>
  </si>
  <si>
    <t xml:space="preserve">Плановий прибуток в тарифах на транспортування теплової енергії </t>
  </si>
  <si>
    <t>Місячна абонентська плата за транспортування теплової енергії на одиницю теплового навантаження, у т.ч.:</t>
  </si>
  <si>
    <t>грн./Гкал /год</t>
  </si>
  <si>
    <t>10.1</t>
  </si>
  <si>
    <t>складова собівартості (пункт 8/ пункт 7/12)</t>
  </si>
  <si>
    <t>10.2</t>
  </si>
  <si>
    <t>складова прибутку (пункт 9/ пункт 7/12)</t>
  </si>
  <si>
    <t>10.3</t>
  </si>
  <si>
    <t>Постачання теплової енергії</t>
  </si>
  <si>
    <t>Повна планова собівартість постачання теплової енергії, усього – умовно-постійні витрати</t>
  </si>
  <si>
    <t xml:space="preserve">Плановий прибуток в тарифах на постачання теплової енергії </t>
  </si>
  <si>
    <t>Місячна абонентська плата за постачання теплової енергії на одиницю теплового навантаження, у т.ч.:</t>
  </si>
  <si>
    <t>13.1</t>
  </si>
  <si>
    <t>складова собівартості (пункт 11/ пункт 2/12)</t>
  </si>
  <si>
    <t>13.2</t>
  </si>
  <si>
    <t>складова прибутку (пункт 12/ пункт 2/12)</t>
  </si>
  <si>
    <t>13.3</t>
  </si>
  <si>
    <t>Двоставкові тарифи на теплову енергію для кінцевих споживачів</t>
  </si>
  <si>
    <t>Умовно-змінна частина двоставкового тарифу на теплову енергію (пункт 5), у т.ч.:</t>
  </si>
  <si>
    <t>14.1</t>
  </si>
  <si>
    <t xml:space="preserve">складова собівартості (пункт 5.1) </t>
  </si>
  <si>
    <t>14.2</t>
  </si>
  <si>
    <t>складова прибутку (пункт 5.2)</t>
  </si>
  <si>
    <t>14.3</t>
  </si>
  <si>
    <t>Умовно-постійна частина двоставкового тарифу на теплову енергію – місячна абонентська плата на одиницю теплового навантаження (пункт 6 + пункт 10 + пункт 13), у т.ч.:</t>
  </si>
  <si>
    <t>15.1</t>
  </si>
  <si>
    <t>складова собівартості (пункт 6.1 + пункт 10.1+ пункт 13.1)</t>
  </si>
  <si>
    <t>15.2</t>
  </si>
  <si>
    <t>складова прибутку (пункт 6.2 +  пункт 10.2 + пункт 13.2)</t>
  </si>
  <si>
    <t>15.3</t>
  </si>
  <si>
    <t>Структура тарифів на послуги централізованого опалення комунального підприємства "Чорноморськтеплоенерго" Чорноморської міської ради Одеської області</t>
  </si>
  <si>
    <t>Показники </t>
  </si>
  <si>
    <t>Усього </t>
  </si>
  <si>
    <t>Плановий період  2018 рік</t>
  </si>
  <si>
    <t>Період, попередній базовому (факт 2015 р.)</t>
  </si>
  <si>
    <t>Базовий перід (факт 2016 р.)</t>
  </si>
  <si>
    <t>Передбачено діючим тарифом </t>
  </si>
  <si>
    <t>населення опалення</t>
  </si>
  <si>
    <t>1 </t>
  </si>
  <si>
    <t>Виробнича собівартість, у тому числі: </t>
  </si>
  <si>
    <t>тис. грн </t>
  </si>
  <si>
    <t>1.1 </t>
  </si>
  <si>
    <t>Прямі матеріальні витрати, у тому числі: </t>
  </si>
  <si>
    <t>1.1.1 </t>
  </si>
  <si>
    <t>теплова енергія</t>
  </si>
  <si>
    <t>1.1.1.1</t>
  </si>
  <si>
    <t>умовно-постійна частина</t>
  </si>
  <si>
    <t>умовно-змінна частина</t>
  </si>
  <si>
    <t>1.1.2 </t>
  </si>
  <si>
    <t>електроенергія</t>
  </si>
  <si>
    <t>1.1.3 </t>
  </si>
  <si>
    <t>водопостачання та водовідведення для технологічних потреб</t>
  </si>
  <si>
    <t>холодна вода для ГВП</t>
  </si>
  <si>
    <t>1.1.4 </t>
  </si>
  <si>
    <t>матеріали, запасні частини та інші матеріальні ресурси</t>
  </si>
  <si>
    <t>1.2 </t>
  </si>
  <si>
    <t>Прямі витрати на оплату праці </t>
  </si>
  <si>
    <t>1.3 </t>
  </si>
  <si>
    <t>Інші прямі витрати, у тому числі: </t>
  </si>
  <si>
    <t>1.3.1  </t>
  </si>
  <si>
    <t>відрахування на соціальні заходи </t>
  </si>
  <si>
    <t>1.3.2 </t>
  </si>
  <si>
    <t>амортизаційні відрахування  </t>
  </si>
  <si>
    <t>1.3.3 </t>
  </si>
  <si>
    <t>інші прямі витрати </t>
  </si>
  <si>
    <t>1.4 </t>
  </si>
  <si>
    <t>Загальновиробничі витрати, у тому числі: </t>
  </si>
  <si>
    <t>1.4.1 </t>
  </si>
  <si>
    <t>витрати на оплату праці </t>
  </si>
  <si>
    <t>1.4.2 </t>
  </si>
  <si>
    <t>1.4.3 </t>
  </si>
  <si>
    <t>інші витрати </t>
  </si>
  <si>
    <t>2 </t>
  </si>
  <si>
    <t>Адміністративні витрати, у тому числі: </t>
  </si>
  <si>
    <t>2.1 </t>
  </si>
  <si>
    <t>2.2 </t>
  </si>
  <si>
    <t>2.3 </t>
  </si>
  <si>
    <t>3 </t>
  </si>
  <si>
    <t>Витрати на збут, у тому числі: </t>
  </si>
  <si>
    <t>3.1 </t>
  </si>
  <si>
    <t>3.2 </t>
  </si>
  <si>
    <t>3.3 </t>
  </si>
  <si>
    <t>інші витрати* </t>
  </si>
  <si>
    <t>4 </t>
  </si>
  <si>
    <t>Інші операційні витрати* </t>
  </si>
  <si>
    <t>5 </t>
  </si>
  <si>
    <t>Фінансові витрати </t>
  </si>
  <si>
    <t>6 </t>
  </si>
  <si>
    <t>Повна собівартість* </t>
  </si>
  <si>
    <t>7 </t>
  </si>
  <si>
    <t>Розрахунковий прибуток*, усього, у тому числі: </t>
  </si>
  <si>
    <t>7.1 </t>
  </si>
  <si>
    <t>податок на прибуток </t>
  </si>
  <si>
    <t>тис. грн  </t>
  </si>
  <si>
    <t>х </t>
  </si>
  <si>
    <t>7.2 </t>
  </si>
  <si>
    <t>дивіденди </t>
  </si>
  <si>
    <t>7.3 </t>
  </si>
  <si>
    <t>резервний фонд (капітал) </t>
  </si>
  <si>
    <t>7.4 </t>
  </si>
  <si>
    <t>на розвиток виробництва (виробничі інвестиції) </t>
  </si>
  <si>
    <t>7.5 </t>
  </si>
  <si>
    <t>інше використання прибутку </t>
  </si>
  <si>
    <t>8 </t>
  </si>
  <si>
    <t>Вартість послуг централізованого опалення всього, у т.ч.:</t>
  </si>
  <si>
    <t>8.1 </t>
  </si>
  <si>
    <t>8.2 </t>
  </si>
  <si>
    <t>Корисний відпуск теплової енергії населенню на прямих договорах</t>
  </si>
  <si>
    <t>Приєднане теплове навантаження населення на прямих договорах</t>
  </si>
  <si>
    <t>Загальна опалювальна площа населення на прямих договорах</t>
  </si>
  <si>
    <t>кв.м.</t>
  </si>
  <si>
    <t>Тариф на послуги з централізованого опалення без ПДВ</t>
  </si>
  <si>
    <t>12.1 </t>
  </si>
  <si>
    <t>грн/Гкал </t>
  </si>
  <si>
    <t>12.2 </t>
  </si>
  <si>
    <t>умовно-постійна частина річна</t>
  </si>
  <si>
    <t>грн/Гкал/год</t>
  </si>
  <si>
    <t>12.3 </t>
  </si>
  <si>
    <t>умовно-постійна частина місячна</t>
  </si>
  <si>
    <t>12.4 </t>
  </si>
  <si>
    <t>грн./кв.м.</t>
  </si>
  <si>
    <t>13.1 </t>
  </si>
  <si>
    <t>13.2 </t>
  </si>
  <si>
    <t>13.3 </t>
  </si>
  <si>
    <t>13.4 </t>
  </si>
  <si>
    <t xml:space="preserve">                     Керуючий справами</t>
  </si>
  <si>
    <t>Додаток 1 
до рішення виконавчого комітету Чорноморської міської ради Одеської області  від __.__.2018 року
 № ________</t>
  </si>
  <si>
    <t>Чорноморської міської ради Одеської
 області від __.__.2018 р. № _______</t>
  </si>
  <si>
    <t>Структура тарифів на теплову енергію комунального підприємства "Чорноморськтеплоенерго" Чорноморської міської ради Одеської області</t>
  </si>
  <si>
    <t>*K1</t>
  </si>
  <si>
    <t>Додаток 3 
до рішення виконавчого комітету Чорноморської міської ради Одеської області  від __.__.2018 р.
 № ________</t>
  </si>
  <si>
    <t>1.1.1.2</t>
  </si>
  <si>
    <t>умовно-постійна частина середньовзважена місячна в розрахунку на 1 кв.м.</t>
  </si>
  <si>
    <t>Тариф на послуги з централізованого опалення з ПДВ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</si>
</sst>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4"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45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2" fillId="0" borderId="0" applyFont="0" applyFill="0" applyBorder="0" applyAlignment="0" applyProtection="0"/>
  </cellStyleXfs>
  <cellXfs count="1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8" fillId="0" borderId="0" xfId="0" applyFont="1"/>
    <xf numFmtId="4" fontId="0" fillId="0" borderId="0" xfId="0" applyNumberFormat="1"/>
    <xf numFmtId="0" fontId="9" fillId="0" borderId="0" xfId="0" applyFont="1"/>
    <xf numFmtId="0" fontId="10" fillId="0" borderId="0" xfId="0" applyFont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3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right"/>
    </xf>
    <xf numFmtId="49" fontId="6" fillId="0" borderId="0" xfId="1" applyNumberFormat="1" applyFill="1" applyAlignment="1">
      <alignment horizontal="right"/>
    </xf>
    <xf numFmtId="0" fontId="6" fillId="0" borderId="0" xfId="1" applyFill="1"/>
    <xf numFmtId="49" fontId="15" fillId="0" borderId="1" xfId="1" applyNumberFormat="1" applyFont="1" applyFill="1" applyBorder="1" applyAlignment="1">
      <alignment horizontal="right" vertical="center" wrapText="1"/>
    </xf>
    <xf numFmtId="0" fontId="15" fillId="0" borderId="1" xfId="1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center" vertical="center" wrapText="1"/>
    </xf>
    <xf numFmtId="2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right"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horizontal="center" vertical="center" wrapText="1"/>
    </xf>
    <xf numFmtId="2" fontId="16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2" fontId="9" fillId="0" borderId="0" xfId="0" applyNumberFormat="1" applyFont="1"/>
    <xf numFmtId="164" fontId="15" fillId="0" borderId="1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15" fillId="0" borderId="21" xfId="1" applyFont="1" applyFill="1" applyBorder="1" applyAlignment="1">
      <alignment vertical="center" wrapText="1"/>
    </xf>
    <xf numFmtId="49" fontId="15" fillId="0" borderId="7" xfId="1" applyNumberFormat="1" applyFont="1" applyFill="1" applyBorder="1" applyAlignment="1">
      <alignment horizontal="right" vertical="center" wrapText="1"/>
    </xf>
    <xf numFmtId="0" fontId="15" fillId="0" borderId="22" xfId="1" applyFont="1" applyFill="1" applyBorder="1" applyAlignment="1">
      <alignment vertical="center" wrapText="1"/>
    </xf>
    <xf numFmtId="0" fontId="17" fillId="0" borderId="0" xfId="0" applyFont="1"/>
    <xf numFmtId="0" fontId="12" fillId="0" borderId="0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4" xfId="0" applyFont="1" applyBorder="1" applyAlignment="1">
      <alignment vertical="top" wrapText="1"/>
    </xf>
    <xf numFmtId="0" fontId="12" fillId="0" borderId="31" xfId="0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2" fontId="12" fillId="0" borderId="22" xfId="0" applyNumberFormat="1" applyFont="1" applyBorder="1" applyAlignment="1">
      <alignment horizontal="center" vertical="top" wrapText="1"/>
    </xf>
    <xf numFmtId="2" fontId="12" fillId="0" borderId="32" xfId="0" applyNumberFormat="1" applyFont="1" applyBorder="1" applyAlignment="1">
      <alignment horizontal="center" vertical="top" wrapText="1"/>
    </xf>
    <xf numFmtId="0" fontId="13" fillId="0" borderId="33" xfId="0" applyFont="1" applyBorder="1" applyAlignment="1">
      <alignment horizontal="center" vertical="top" wrapText="1"/>
    </xf>
    <xf numFmtId="0" fontId="13" fillId="0" borderId="7" xfId="0" applyFont="1" applyBorder="1" applyAlignment="1">
      <alignment vertical="top" wrapText="1"/>
    </xf>
    <xf numFmtId="0" fontId="13" fillId="0" borderId="34" xfId="0" applyFont="1" applyBorder="1" applyAlignment="1">
      <alignment horizontal="center" vertical="top" wrapText="1"/>
    </xf>
    <xf numFmtId="2" fontId="13" fillId="0" borderId="8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35" xfId="0" applyNumberFormat="1" applyFont="1" applyBorder="1" applyAlignment="1">
      <alignment horizontal="center" vertical="top" wrapText="1"/>
    </xf>
    <xf numFmtId="0" fontId="12" fillId="0" borderId="33" xfId="0" applyFont="1" applyBorder="1" applyAlignment="1">
      <alignment horizontal="center" vertical="top" wrapText="1"/>
    </xf>
    <xf numFmtId="0" fontId="12" fillId="0" borderId="7" xfId="0" applyFont="1" applyBorder="1" applyAlignment="1">
      <alignment vertical="top" wrapText="1"/>
    </xf>
    <xf numFmtId="0" fontId="12" fillId="0" borderId="34" xfId="0" applyFont="1" applyBorder="1" applyAlignment="1">
      <alignment horizontal="center" vertical="top" wrapText="1"/>
    </xf>
    <xf numFmtId="2" fontId="12" fillId="0" borderId="8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2" fillId="0" borderId="35" xfId="0" applyNumberFormat="1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left" vertical="top" wrapText="1" indent="1"/>
    </xf>
    <xf numFmtId="2" fontId="12" fillId="0" borderId="35" xfId="0" applyNumberFormat="1" applyFont="1" applyBorder="1" applyAlignment="1">
      <alignment horizontal="center" vertical="top" wrapText="1"/>
    </xf>
    <xf numFmtId="0" fontId="20" fillId="0" borderId="0" xfId="0" applyFont="1"/>
    <xf numFmtId="10" fontId="9" fillId="0" borderId="0" xfId="0" applyNumberFormat="1" applyFont="1"/>
    <xf numFmtId="0" fontId="12" fillId="0" borderId="34" xfId="0" applyFont="1" applyBorder="1" applyAlignment="1">
      <alignment vertical="top" wrapText="1"/>
    </xf>
    <xf numFmtId="2" fontId="12" fillId="0" borderId="34" xfId="0" applyNumberFormat="1" applyFont="1" applyBorder="1" applyAlignment="1">
      <alignment horizontal="center" vertical="top" wrapText="1"/>
    </xf>
    <xf numFmtId="0" fontId="12" fillId="0" borderId="36" xfId="0" applyFont="1" applyBorder="1" applyAlignment="1">
      <alignment vertical="top" wrapText="1"/>
    </xf>
    <xf numFmtId="2" fontId="12" fillId="0" borderId="36" xfId="0" applyNumberFormat="1" applyFont="1" applyBorder="1" applyAlignment="1">
      <alignment horizontal="center" vertical="top" wrapText="1"/>
    </xf>
    <xf numFmtId="0" fontId="12" fillId="0" borderId="37" xfId="0" applyFont="1" applyBorder="1" applyAlignment="1">
      <alignment vertical="top" wrapText="1"/>
    </xf>
    <xf numFmtId="1" fontId="12" fillId="0" borderId="38" xfId="0" applyNumberFormat="1" applyFont="1" applyBorder="1" applyAlignment="1">
      <alignment horizontal="center" vertical="top" wrapText="1"/>
    </xf>
    <xf numFmtId="1" fontId="12" fillId="0" borderId="31" xfId="0" applyNumberFormat="1" applyFont="1" applyBorder="1" applyAlignment="1">
      <alignment horizontal="center" vertical="top" wrapText="1"/>
    </xf>
    <xf numFmtId="164" fontId="12" fillId="0" borderId="31" xfId="0" applyNumberFormat="1" applyFont="1" applyFill="1" applyBorder="1" applyAlignment="1">
      <alignment horizontal="center" vertical="top" wrapText="1"/>
    </xf>
    <xf numFmtId="1" fontId="9" fillId="0" borderId="0" xfId="0" applyNumberFormat="1" applyFont="1"/>
    <xf numFmtId="0" fontId="21" fillId="0" borderId="0" xfId="0" applyFont="1"/>
    <xf numFmtId="0" fontId="12" fillId="0" borderId="39" xfId="0" applyFont="1" applyBorder="1" applyAlignment="1">
      <alignment horizontal="center" vertical="top" wrapText="1"/>
    </xf>
    <xf numFmtId="2" fontId="12" fillId="0" borderId="36" xfId="0" applyNumberFormat="1" applyFont="1" applyFill="1" applyBorder="1" applyAlignment="1">
      <alignment horizontal="center" vertical="top" wrapText="1"/>
    </xf>
    <xf numFmtId="0" fontId="13" fillId="0" borderId="34" xfId="0" applyFont="1" applyBorder="1" applyAlignment="1">
      <alignment vertical="top" wrapText="1"/>
    </xf>
    <xf numFmtId="2" fontId="13" fillId="0" borderId="34" xfId="0" applyNumberFormat="1" applyFont="1" applyBorder="1" applyAlignment="1">
      <alignment horizontal="center" vertical="top" wrapText="1"/>
    </xf>
    <xf numFmtId="2" fontId="13" fillId="0" borderId="34" xfId="0" applyNumberFormat="1" applyFont="1" applyFill="1" applyBorder="1" applyAlignment="1">
      <alignment horizontal="center" vertical="top" wrapText="1"/>
    </xf>
    <xf numFmtId="2" fontId="13" fillId="0" borderId="20" xfId="0" applyNumberFormat="1" applyFont="1" applyBorder="1" applyAlignment="1">
      <alignment horizontal="center" vertical="top" wrapText="1"/>
    </xf>
    <xf numFmtId="2" fontId="13" fillId="0" borderId="40" xfId="0" applyNumberFormat="1" applyFont="1" applyFill="1" applyBorder="1" applyAlignment="1">
      <alignment horizontal="center" vertical="top" wrapText="1"/>
    </xf>
    <xf numFmtId="2" fontId="20" fillId="0" borderId="0" xfId="0" applyNumberFormat="1" applyFont="1"/>
    <xf numFmtId="2" fontId="12" fillId="0" borderId="40" xfId="0" applyNumberFormat="1" applyFont="1" applyFill="1" applyBorder="1" applyAlignment="1">
      <alignment horizontal="center" vertical="top" wrapText="1"/>
    </xf>
    <xf numFmtId="0" fontId="13" fillId="0" borderId="34" xfId="0" applyFont="1" applyFill="1" applyBorder="1" applyAlignment="1">
      <alignment horizontal="center" vertical="top" wrapText="1"/>
    </xf>
    <xf numFmtId="2" fontId="13" fillId="0" borderId="8" xfId="0" applyNumberFormat="1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2" fontId="13" fillId="0" borderId="35" xfId="0" applyNumberFormat="1" applyFont="1" applyFill="1" applyBorder="1" applyAlignment="1">
      <alignment horizontal="center" vertical="top" wrapText="1"/>
    </xf>
    <xf numFmtId="0" fontId="12" fillId="2" borderId="34" xfId="0" applyFont="1" applyFill="1" applyBorder="1" applyAlignment="1">
      <alignment horizontal="center" vertical="top" wrapText="1"/>
    </xf>
    <xf numFmtId="0" fontId="13" fillId="2" borderId="34" xfId="0" applyFont="1" applyFill="1" applyBorder="1" applyAlignment="1">
      <alignment vertical="top" wrapText="1"/>
    </xf>
    <xf numFmtId="0" fontId="13" fillId="2" borderId="34" xfId="0" applyFont="1" applyFill="1" applyBorder="1" applyAlignment="1">
      <alignment horizontal="center" vertical="top" wrapText="1"/>
    </xf>
    <xf numFmtId="2" fontId="13" fillId="2" borderId="34" xfId="0" applyNumberFormat="1" applyFont="1" applyFill="1" applyBorder="1" applyAlignment="1">
      <alignment horizontal="center" vertical="top" wrapText="1"/>
    </xf>
    <xf numFmtId="2" fontId="21" fillId="0" borderId="0" xfId="0" applyNumberFormat="1" applyFont="1"/>
    <xf numFmtId="0" fontId="13" fillId="2" borderId="33" xfId="0" applyFont="1" applyFill="1" applyBorder="1" applyAlignment="1">
      <alignment horizontal="center" vertical="top" wrapText="1"/>
    </xf>
    <xf numFmtId="2" fontId="13" fillId="2" borderId="20" xfId="0" applyNumberFormat="1" applyFont="1" applyFill="1" applyBorder="1" applyAlignment="1">
      <alignment horizontal="center" vertical="top" wrapText="1"/>
    </xf>
    <xf numFmtId="2" fontId="13" fillId="2" borderId="40" xfId="0" applyNumberFormat="1" applyFont="1" applyFill="1" applyBorder="1" applyAlignment="1">
      <alignment horizontal="center" vertical="top" wrapText="1"/>
    </xf>
    <xf numFmtId="0" fontId="12" fillId="2" borderId="33" xfId="0" applyFont="1" applyFill="1" applyBorder="1" applyAlignment="1">
      <alignment horizontal="center" vertical="top" wrapText="1"/>
    </xf>
    <xf numFmtId="0" fontId="12" fillId="2" borderId="34" xfId="0" applyFont="1" applyFill="1" applyBorder="1" applyAlignment="1">
      <alignment vertical="top" wrapText="1"/>
    </xf>
    <xf numFmtId="2" fontId="12" fillId="2" borderId="40" xfId="0" applyNumberFormat="1" applyFont="1" applyFill="1" applyBorder="1" applyAlignment="1">
      <alignment horizontal="center" vertical="top" wrapText="1"/>
    </xf>
    <xf numFmtId="0" fontId="13" fillId="2" borderId="41" xfId="0" applyFont="1" applyFill="1" applyBorder="1" applyAlignment="1">
      <alignment horizontal="center" vertical="top" wrapText="1"/>
    </xf>
    <xf numFmtId="0" fontId="13" fillId="2" borderId="29" xfId="0" applyFont="1" applyFill="1" applyBorder="1" applyAlignment="1">
      <alignment vertical="top" wrapText="1"/>
    </xf>
    <xf numFmtId="0" fontId="13" fillId="2" borderId="29" xfId="0" applyFont="1" applyFill="1" applyBorder="1" applyAlignment="1">
      <alignment horizontal="center" vertical="top" wrapText="1"/>
    </xf>
    <xf numFmtId="2" fontId="13" fillId="2" borderId="28" xfId="0" applyNumberFormat="1" applyFont="1" applyFill="1" applyBorder="1" applyAlignment="1">
      <alignment horizontal="center" vertical="top" wrapText="1"/>
    </xf>
    <xf numFmtId="2" fontId="13" fillId="2" borderId="17" xfId="0" applyNumberFormat="1" applyFont="1" applyFill="1" applyBorder="1" applyAlignment="1">
      <alignment horizontal="center" vertical="top" wrapText="1"/>
    </xf>
    <xf numFmtId="2" fontId="13" fillId="2" borderId="42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/>
    </xf>
    <xf numFmtId="0" fontId="19" fillId="0" borderId="25" xfId="0" applyFont="1" applyFill="1" applyBorder="1" applyAlignment="1">
      <alignment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9" fontId="23" fillId="0" borderId="0" xfId="2" applyFont="1"/>
    <xf numFmtId="0" fontId="23" fillId="0" borderId="0" xfId="0" applyFont="1"/>
    <xf numFmtId="2" fontId="23" fillId="0" borderId="0" xfId="0" applyNumberFormat="1" applyFont="1"/>
    <xf numFmtId="0" fontId="19" fillId="0" borderId="2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6" fillId="0" borderId="0" xfId="1" applyFill="1" applyBorder="1" applyAlignment="1">
      <alignment horizontal="right"/>
    </xf>
    <xf numFmtId="0" fontId="14" fillId="0" borderId="9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2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</cellXfs>
  <cellStyles count="3">
    <cellStyle name="Обычный" xfId="0" builtinId="0"/>
    <cellStyle name="Обычный 4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1058;&#1040;&#1056;&#1048;&#1060;%202018/tarif%202017%20god%20(&#1092;&#1072;&#1082;&#1090;%202016,2017%20plan%202018)%202901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rif%202018_08%20god%20(&#1092;&#1072;&#1082;&#1090;%202016,2017%20plan%202018)%20&#1082;&#1086;&#1088;&#1077;&#1075;%2009%20&#1089;&#1086;%20&#1089;&#1090;&#1088;&#1091;&#1082;&#1090;&#1091;&#1088;&#1086;&#1081;%200-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хідні дані"/>
      <sheetName val="Додаток 3_Річн.план"/>
      <sheetName val="Тариф_вироб_Дод4"/>
      <sheetName val="Тариф_трансп ТЕ_Дод5"/>
      <sheetName val="Тариф_постач ТЕ_Дод6"/>
      <sheetName val="Тариф_ТЕ_Дод7_Одноставк"/>
      <sheetName val="Тариф_ТЕ_Дод10_Двоставк"/>
      <sheetName val="Тариф на ЦО_Двоставк"/>
      <sheetName val="Прямі"/>
      <sheetName val="Загальновиробничі"/>
      <sheetName val="Адміністративні"/>
      <sheetName val="Додаток 8_Паливо"/>
      <sheetName val="Додаток 9_Електроенергія"/>
      <sheetName val="ПММ"/>
      <sheetName val="Амортизація"/>
      <sheetName val="ФОП"/>
      <sheetName val="Вода_Водовід"/>
      <sheetName val="ДОДАТОК 1"/>
      <sheetName val="ДОДАТОК 2"/>
      <sheetName val="ДОДАТОК 3"/>
      <sheetName val="Лист1"/>
    </sheetNames>
    <sheetDataSet>
      <sheetData sheetId="0"/>
      <sheetData sheetId="1">
        <row r="31">
          <cell r="G31">
            <v>93312.749808862529</v>
          </cell>
        </row>
      </sheetData>
      <sheetData sheetId="2">
        <row r="46">
          <cell r="H46">
            <v>611.83519326590465</v>
          </cell>
        </row>
        <row r="54">
          <cell r="H54">
            <v>175298.66204155367</v>
          </cell>
        </row>
      </sheetData>
      <sheetData sheetId="3">
        <row r="47">
          <cell r="H47">
            <v>179158.50946775652</v>
          </cell>
        </row>
      </sheetData>
      <sheetData sheetId="4">
        <row r="44">
          <cell r="H44">
            <v>4537.1861552419214</v>
          </cell>
        </row>
      </sheetData>
      <sheetData sheetId="5"/>
      <sheetData sheetId="6">
        <row r="16">
          <cell r="G16">
            <v>85414.241164799896</v>
          </cell>
        </row>
        <row r="20">
          <cell r="G20">
            <v>9930.228299420749</v>
          </cell>
        </row>
        <row r="21">
          <cell r="G21">
            <v>4767.2234732110319</v>
          </cell>
        </row>
        <row r="34">
          <cell r="G34">
            <v>10148.878947958166</v>
          </cell>
        </row>
        <row r="35">
          <cell r="G35">
            <v>507.44394739790835</v>
          </cell>
        </row>
        <row r="41">
          <cell r="G41">
            <v>257.02018391813664</v>
          </cell>
        </row>
        <row r="42">
          <cell r="G42">
            <v>12.851009195906833</v>
          </cell>
        </row>
      </sheetData>
      <sheetData sheetId="7"/>
      <sheetData sheetId="8">
        <row r="9">
          <cell r="E9">
            <v>122169.09787240214</v>
          </cell>
        </row>
        <row r="11">
          <cell r="F11">
            <v>79120.591713864851</v>
          </cell>
        </row>
        <row r="12">
          <cell r="F12">
            <v>6293.6494509350423</v>
          </cell>
        </row>
        <row r="144">
          <cell r="F144">
            <v>2413.51659073055</v>
          </cell>
        </row>
        <row r="218">
          <cell r="H218">
            <v>19.490257810887876</v>
          </cell>
        </row>
      </sheetData>
      <sheetData sheetId="9">
        <row r="8">
          <cell r="F8">
            <v>797.93305166788218</v>
          </cell>
          <cell r="I8">
            <v>113.28511879295954</v>
          </cell>
        </row>
      </sheetData>
      <sheetData sheetId="10">
        <row r="8">
          <cell r="F8">
            <v>3963.6995819116801</v>
          </cell>
          <cell r="I8">
            <v>562.73916346476199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24">
          <cell r="G24">
            <v>961.12217683806716</v>
          </cell>
        </row>
      </sheetData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хідні дані"/>
      <sheetName val="Додаток 3_Річн.план"/>
      <sheetName val="Тариф_вироб_Дод4"/>
      <sheetName val="Тариф_трансп ТЕ_Дод5"/>
      <sheetName val="Тариф_постач ТЕ_Дод6"/>
      <sheetName val="структура тарифа те"/>
      <sheetName val="Тариф_ТЕ_Дод7_Одноставк"/>
      <sheetName val="Тариф_ТЕ_Дод10_Двоставк"/>
      <sheetName val="Тариф на ЦО_Двоставк"/>
      <sheetName val="Прямі"/>
      <sheetName val="Загальновиробничі"/>
      <sheetName val="Адміністративні"/>
      <sheetName val="Додаток 8_Паливо"/>
      <sheetName val="Додаток 9_Електроенергія"/>
      <sheetName val="ПММ"/>
      <sheetName val="Амортизація"/>
      <sheetName val="ФОП"/>
      <sheetName val="Вода_Водовід"/>
      <sheetName val="ДОДАТОК 1"/>
      <sheetName val="ДОДАТОК 2"/>
      <sheetName val="ДОДАТОК 3"/>
      <sheetName val="сравн двухст"/>
      <sheetName val="свод те одностав"/>
      <sheetName val="насел 2"/>
      <sheetName val="сравн структур"/>
    </sheetNames>
    <sheetDataSet>
      <sheetData sheetId="0"/>
      <sheetData sheetId="1">
        <row r="31">
          <cell r="G31">
            <v>93312.749808862529</v>
          </cell>
        </row>
        <row r="33">
          <cell r="G33">
            <v>15.110874240000012</v>
          </cell>
        </row>
        <row r="35">
          <cell r="G35">
            <v>13840.503074019613</v>
          </cell>
        </row>
        <row r="37">
          <cell r="G37">
            <v>7637.9631860861991</v>
          </cell>
        </row>
        <row r="40">
          <cell r="G40">
            <v>59.479859075708113</v>
          </cell>
        </row>
        <row r="41">
          <cell r="G41">
            <v>9.6319999999999999E-3</v>
          </cell>
        </row>
        <row r="42">
          <cell r="G42">
            <v>8.82223778</v>
          </cell>
        </row>
        <row r="43">
          <cell r="G43">
            <v>4.9834059100000019</v>
          </cell>
        </row>
      </sheetData>
      <sheetData sheetId="2">
        <row r="46">
          <cell r="L46">
            <v>587.57422228672158</v>
          </cell>
          <cell r="P46">
            <v>9.5150106221033245E-2</v>
          </cell>
          <cell r="T46">
            <v>87.150836988601625</v>
          </cell>
          <cell r="X46">
            <v>49.22877924408494</v>
          </cell>
        </row>
        <row r="47">
          <cell r="L47">
            <v>4290.1645322687682</v>
          </cell>
          <cell r="P47">
            <v>0.41577920988410633</v>
          </cell>
          <cell r="T47">
            <v>950.42215491704928</v>
          </cell>
          <cell r="X47">
            <v>524.49606720753684</v>
          </cell>
        </row>
      </sheetData>
      <sheetData sheetId="3"/>
      <sheetData sheetId="4"/>
      <sheetData sheetId="5"/>
      <sheetData sheetId="6"/>
      <sheetData sheetId="7"/>
      <sheetData sheetId="8">
        <row r="10">
          <cell r="H10">
            <v>95691.942873822845</v>
          </cell>
        </row>
        <row r="11">
          <cell r="H11">
            <v>20837.156651039517</v>
          </cell>
        </row>
        <row r="12">
          <cell r="H12">
            <v>74854.786222783325</v>
          </cell>
        </row>
        <row r="44">
          <cell r="H44">
            <v>74854.786222783325</v>
          </cell>
        </row>
        <row r="46">
          <cell r="H46">
            <v>77529.56</v>
          </cell>
        </row>
        <row r="47">
          <cell r="H47">
            <v>49.418999999999997</v>
          </cell>
        </row>
        <row r="48">
          <cell r="H48">
            <v>818887</v>
          </cell>
        </row>
      </sheetData>
      <sheetData sheetId="9">
        <row r="9">
          <cell r="E9">
            <v>123899.44337121371</v>
          </cell>
        </row>
        <row r="11">
          <cell r="E11">
            <v>107087.98471660257</v>
          </cell>
          <cell r="F11">
            <v>79120.591713864851</v>
          </cell>
          <cell r="G11">
            <v>7.2334017162454129</v>
          </cell>
          <cell r="H11">
            <v>18017.239695871598</v>
          </cell>
          <cell r="I11">
            <v>9942.9199051498781</v>
          </cell>
        </row>
        <row r="12">
          <cell r="E12">
            <v>8221.9859554622035</v>
          </cell>
          <cell r="F12">
            <v>6682.6989315105229</v>
          </cell>
          <cell r="G12">
            <v>1.0821824814367125</v>
          </cell>
          <cell r="H12">
            <v>991.20340246938486</v>
          </cell>
          <cell r="I12">
            <v>547.00143900085925</v>
          </cell>
        </row>
        <row r="60">
          <cell r="E60">
            <v>13884.222008531868</v>
          </cell>
        </row>
        <row r="62">
          <cell r="C62">
            <v>717.94762000000003</v>
          </cell>
          <cell r="D62">
            <v>792.09996000000001</v>
          </cell>
        </row>
        <row r="70">
          <cell r="C70">
            <v>2367.4157599999999</v>
          </cell>
          <cell r="D70">
            <v>2645.5790699999998</v>
          </cell>
        </row>
        <row r="72">
          <cell r="C72">
            <v>3877.3992900000007</v>
          </cell>
          <cell r="D72">
            <v>4620.4021899999998</v>
          </cell>
        </row>
        <row r="73">
          <cell r="C73">
            <v>508.17662000000001</v>
          </cell>
          <cell r="D73">
            <v>560.41727000000003</v>
          </cell>
        </row>
        <row r="74">
          <cell r="C74">
            <v>2321.02243</v>
          </cell>
          <cell r="D74">
            <v>3119.7326200000002</v>
          </cell>
        </row>
        <row r="117">
          <cell r="E117">
            <v>388.82162806786664</v>
          </cell>
        </row>
        <row r="145">
          <cell r="E145">
            <v>84.988079217999996</v>
          </cell>
        </row>
        <row r="146">
          <cell r="E146">
            <v>38.138202018000001</v>
          </cell>
          <cell r="F146">
            <v>38.138202018000001</v>
          </cell>
        </row>
        <row r="147">
          <cell r="E147">
            <v>1.247004</v>
          </cell>
          <cell r="F147">
            <v>1.247004</v>
          </cell>
        </row>
        <row r="148">
          <cell r="E148">
            <v>0</v>
          </cell>
        </row>
        <row r="150">
          <cell r="F150">
            <v>1470.8013199999998</v>
          </cell>
        </row>
        <row r="152">
          <cell r="F152">
            <v>1281.9667436375501</v>
          </cell>
        </row>
        <row r="153">
          <cell r="F153">
            <v>314.16129230675</v>
          </cell>
        </row>
        <row r="154">
          <cell r="F154">
            <v>8.9773200000000006</v>
          </cell>
        </row>
        <row r="218">
          <cell r="D218">
            <v>135.26528012739266</v>
          </cell>
          <cell r="E218">
            <v>15.157882297405971</v>
          </cell>
          <cell r="F218">
            <v>0.42448993320020328</v>
          </cell>
          <cell r="H218">
            <v>19.777347642001121</v>
          </cell>
        </row>
        <row r="219">
          <cell r="H219">
            <v>231.8223899428703</v>
          </cell>
        </row>
      </sheetData>
      <sheetData sheetId="10">
        <row r="8">
          <cell r="F8">
            <v>935.08107805383327</v>
          </cell>
          <cell r="G8">
            <v>104.78556586230096</v>
          </cell>
          <cell r="H8">
            <v>2.9344744193485224</v>
          </cell>
          <cell r="I8">
            <v>136.7196632920936</v>
          </cell>
        </row>
        <row r="13">
          <cell r="I13">
            <v>81.32912936151375</v>
          </cell>
        </row>
        <row r="15">
          <cell r="I15">
            <v>16.089229711924983</v>
          </cell>
        </row>
      </sheetData>
      <sheetData sheetId="11">
        <row r="8">
          <cell r="F8">
            <v>4821.1607151824173</v>
          </cell>
          <cell r="G8">
            <v>540.26123029344535</v>
          </cell>
          <cell r="H8">
            <v>15.12978192192265</v>
          </cell>
          <cell r="I8">
            <v>704.90942991668771</v>
          </cell>
        </row>
        <row r="20">
          <cell r="I20">
            <v>490.80226865384975</v>
          </cell>
        </row>
        <row r="23">
          <cell r="I23">
            <v>107.97649910384695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opLeftCell="A13" workbookViewId="0">
      <selection activeCell="H16" sqref="H16"/>
    </sheetView>
  </sheetViews>
  <sheetFormatPr defaultColWidth="7.69921875" defaultRowHeight="15.6"/>
  <cols>
    <col min="1" max="1" width="31.19921875" customWidth="1"/>
    <col min="2" max="2" width="10.69921875" customWidth="1"/>
    <col min="3" max="3" width="5.69921875" customWidth="1"/>
    <col min="4" max="4" width="4.59765625" customWidth="1"/>
    <col min="5" max="5" width="9.59765625" customWidth="1"/>
    <col min="6" max="7" width="10.19921875" customWidth="1"/>
  </cols>
  <sheetData>
    <row r="1" spans="1:7" s="1" customFormat="1" ht="77.400000000000006" customHeight="1">
      <c r="E1" s="122" t="s">
        <v>197</v>
      </c>
      <c r="F1" s="122"/>
      <c r="G1" s="122"/>
    </row>
    <row r="2" spans="1:7" s="1" customFormat="1" ht="54.6" customHeight="1">
      <c r="A2" s="123" t="s">
        <v>0</v>
      </c>
      <c r="B2" s="123"/>
      <c r="C2" s="123"/>
      <c r="D2" s="123"/>
      <c r="E2" s="123"/>
      <c r="F2" s="123"/>
      <c r="G2" s="123"/>
    </row>
    <row r="3" spans="1:7" s="1" customFormat="1" ht="13.8">
      <c r="F3" s="2" t="s">
        <v>1</v>
      </c>
    </row>
    <row r="4" spans="1:7" s="3" customFormat="1" ht="16.2" customHeight="1">
      <c r="A4" s="124" t="s">
        <v>2</v>
      </c>
      <c r="B4" s="124" t="s">
        <v>3</v>
      </c>
      <c r="C4" s="125" t="s">
        <v>4</v>
      </c>
      <c r="D4" s="126"/>
      <c r="E4" s="124" t="s">
        <v>5</v>
      </c>
      <c r="F4" s="124" t="s">
        <v>6</v>
      </c>
      <c r="G4" s="124" t="s">
        <v>7</v>
      </c>
    </row>
    <row r="5" spans="1:7" s="3" customFormat="1" ht="17.399999999999999" customHeight="1">
      <c r="A5" s="124"/>
      <c r="B5" s="124"/>
      <c r="C5" s="127"/>
      <c r="D5" s="128"/>
      <c r="E5" s="124"/>
      <c r="F5" s="124"/>
      <c r="G5" s="124"/>
    </row>
    <row r="6" spans="1:7" s="3" customFormat="1" ht="24" customHeight="1">
      <c r="A6" s="4" t="s">
        <v>8</v>
      </c>
      <c r="B6" s="131"/>
      <c r="C6" s="131"/>
      <c r="D6" s="131"/>
      <c r="E6" s="131"/>
      <c r="F6" s="131"/>
      <c r="G6" s="131"/>
    </row>
    <row r="7" spans="1:7" s="1" customFormat="1" ht="44.4" customHeight="1">
      <c r="A7" s="5" t="s">
        <v>9</v>
      </c>
      <c r="B7" s="6" t="s">
        <v>10</v>
      </c>
      <c r="C7" s="129">
        <v>1158.5999387503296</v>
      </c>
      <c r="D7" s="130"/>
      <c r="E7" s="7">
        <v>1730.4745482025171</v>
      </c>
      <c r="F7" s="7">
        <v>693.3838454789144</v>
      </c>
      <c r="G7" s="7">
        <v>1730.4745482025114</v>
      </c>
    </row>
    <row r="8" spans="1:7" s="1" customFormat="1" ht="81" customHeight="1">
      <c r="A8" s="8" t="s">
        <v>11</v>
      </c>
      <c r="B8" s="9" t="s">
        <v>12</v>
      </c>
      <c r="C8" s="129">
        <v>42164.262026830816</v>
      </c>
      <c r="D8" s="130"/>
      <c r="E8" s="7">
        <v>42164.262026830816</v>
      </c>
      <c r="F8" s="7">
        <v>42164.262026830802</v>
      </c>
      <c r="G8" s="7">
        <v>42164.262026830816</v>
      </c>
    </row>
    <row r="9" spans="1:7" s="3" customFormat="1" ht="33.6" customHeight="1">
      <c r="A9" s="10" t="s">
        <v>13</v>
      </c>
      <c r="B9" s="131"/>
      <c r="C9" s="131"/>
      <c r="D9" s="131"/>
      <c r="E9" s="131"/>
      <c r="F9" s="131"/>
      <c r="G9" s="131"/>
    </row>
    <row r="10" spans="1:7" s="1" customFormat="1" ht="45.6" customHeight="1">
      <c r="A10" s="5" t="s">
        <v>9</v>
      </c>
      <c r="B10" s="6" t="s">
        <v>10</v>
      </c>
      <c r="C10" s="129">
        <v>1158.5999387503296</v>
      </c>
      <c r="D10" s="130"/>
      <c r="E10" s="7">
        <v>1730.4745482025171</v>
      </c>
      <c r="F10" s="7">
        <v>693.3838454789144</v>
      </c>
      <c r="G10" s="7">
        <v>1730.4745482025114</v>
      </c>
    </row>
    <row r="11" spans="1:7" s="1" customFormat="1" ht="78" customHeight="1">
      <c r="A11" s="8" t="s">
        <v>11</v>
      </c>
      <c r="B11" s="9" t="s">
        <v>12</v>
      </c>
      <c r="C11" s="129">
        <v>20744.935949353134</v>
      </c>
      <c r="D11" s="130"/>
      <c r="E11" s="7">
        <v>20744.93594935313</v>
      </c>
      <c r="F11" s="7">
        <v>20744.93594935313</v>
      </c>
      <c r="G11" s="7">
        <v>20744.935949353141</v>
      </c>
    </row>
    <row r="12" spans="1:7" s="3" customFormat="1" ht="19.2" customHeight="1">
      <c r="A12" s="11" t="s">
        <v>14</v>
      </c>
      <c r="B12" s="131"/>
      <c r="C12" s="131"/>
      <c r="D12" s="131"/>
      <c r="E12" s="131"/>
      <c r="F12" s="131"/>
      <c r="G12" s="131"/>
    </row>
    <row r="13" spans="1:7" s="1" customFormat="1" ht="44.4" customHeight="1">
      <c r="A13" s="5" t="s">
        <v>9</v>
      </c>
      <c r="B13" s="6" t="s">
        <v>10</v>
      </c>
      <c r="C13" s="129">
        <v>0</v>
      </c>
      <c r="D13" s="130"/>
      <c r="E13" s="7">
        <v>0</v>
      </c>
      <c r="F13" s="7">
        <v>0</v>
      </c>
      <c r="G13" s="7">
        <v>0</v>
      </c>
    </row>
    <row r="14" spans="1:7" s="1" customFormat="1" ht="82.2" customHeight="1">
      <c r="A14" s="8" t="s">
        <v>11</v>
      </c>
      <c r="B14" s="9" t="s">
        <v>12</v>
      </c>
      <c r="C14" s="129">
        <v>20835.827739659566</v>
      </c>
      <c r="D14" s="130"/>
      <c r="E14" s="7">
        <v>20835.827739659566</v>
      </c>
      <c r="F14" s="7">
        <v>20835.827739659562</v>
      </c>
      <c r="G14" s="7">
        <v>20835.827739659566</v>
      </c>
    </row>
    <row r="15" spans="1:7" s="3" customFormat="1" ht="22.2" customHeight="1">
      <c r="A15" s="11" t="s">
        <v>15</v>
      </c>
      <c r="B15" s="131"/>
      <c r="C15" s="131"/>
      <c r="D15" s="131"/>
      <c r="E15" s="131"/>
      <c r="F15" s="131"/>
      <c r="G15" s="131"/>
    </row>
    <row r="16" spans="1:7" s="1" customFormat="1" ht="46.2" customHeight="1">
      <c r="A16" s="5" t="s">
        <v>9</v>
      </c>
      <c r="B16" s="6" t="s">
        <v>10</v>
      </c>
      <c r="C16" s="129">
        <v>0</v>
      </c>
      <c r="D16" s="130"/>
      <c r="E16" s="7">
        <v>0</v>
      </c>
      <c r="F16" s="7">
        <v>0</v>
      </c>
      <c r="G16" s="7">
        <v>0</v>
      </c>
    </row>
    <row r="17" spans="1:7" s="1" customFormat="1" ht="78" customHeight="1">
      <c r="A17" s="8" t="s">
        <v>11</v>
      </c>
      <c r="B17" s="9" t="s">
        <v>12</v>
      </c>
      <c r="C17" s="129">
        <v>583.49833781811606</v>
      </c>
      <c r="D17" s="130"/>
      <c r="E17" s="7">
        <v>583.49833781811606</v>
      </c>
      <c r="F17" s="7">
        <v>583.49833781811606</v>
      </c>
      <c r="G17" s="7">
        <v>583.49833781811606</v>
      </c>
    </row>
    <row r="19" spans="1:7">
      <c r="A19" s="12" t="s">
        <v>16</v>
      </c>
      <c r="B19" s="12"/>
      <c r="C19" s="12"/>
      <c r="D19" s="12"/>
      <c r="E19" s="12"/>
      <c r="F19" s="12" t="s">
        <v>17</v>
      </c>
      <c r="G19" s="12"/>
    </row>
    <row r="21" spans="1:7">
      <c r="C21" s="13"/>
      <c r="D21" s="13"/>
      <c r="E21" s="13"/>
      <c r="F21" s="13"/>
      <c r="G21" s="13"/>
    </row>
  </sheetData>
  <mergeCells count="20">
    <mergeCell ref="C17:D17"/>
    <mergeCell ref="B6:G6"/>
    <mergeCell ref="C7:D7"/>
    <mergeCell ref="C8:D8"/>
    <mergeCell ref="B9:G9"/>
    <mergeCell ref="C10:D10"/>
    <mergeCell ref="C11:D11"/>
    <mergeCell ref="B12:G12"/>
    <mergeCell ref="C13:D13"/>
    <mergeCell ref="C14:D14"/>
    <mergeCell ref="B15:G15"/>
    <mergeCell ref="C16:D16"/>
    <mergeCell ref="E1:G1"/>
    <mergeCell ref="A2:G2"/>
    <mergeCell ref="A4:A5"/>
    <mergeCell ref="B4:B5"/>
    <mergeCell ref="C4:D5"/>
    <mergeCell ref="E4:E5"/>
    <mergeCell ref="F4:F5"/>
    <mergeCell ref="G4:G5"/>
  </mergeCells>
  <pageMargins left="0.7" right="0.12" top="0.23" bottom="0.39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6"/>
  <sheetViews>
    <sheetView topLeftCell="C43" workbookViewId="0">
      <selection activeCell="C9" sqref="C9:J55"/>
    </sheetView>
  </sheetViews>
  <sheetFormatPr defaultColWidth="8.09765625" defaultRowHeight="13.2"/>
  <cols>
    <col min="1" max="1" width="2" style="14" hidden="1" customWidth="1"/>
    <col min="2" max="2" width="5" style="14" hidden="1" customWidth="1"/>
    <col min="3" max="3" width="5.69921875" style="14" bestFit="1" customWidth="1"/>
    <col min="4" max="4" width="39.5" style="14" customWidth="1"/>
    <col min="5" max="5" width="14.59765625" style="14" customWidth="1"/>
    <col min="6" max="6" width="18.19921875" style="14" customWidth="1"/>
    <col min="7" max="7" width="12.5" style="14" customWidth="1"/>
    <col min="8" max="8" width="12.69921875" style="14" customWidth="1"/>
    <col min="9" max="9" width="13.8984375" style="14" customWidth="1"/>
    <col min="10" max="10" width="12.69921875" style="14" customWidth="1"/>
    <col min="11" max="12" width="8.5" style="119" bestFit="1" customWidth="1"/>
    <col min="13" max="13" width="8.09765625" style="119"/>
    <col min="14" max="16384" width="8.09765625" style="14"/>
  </cols>
  <sheetData>
    <row r="1" spans="2:13" ht="16.8">
      <c r="F1" s="15"/>
      <c r="G1" s="15"/>
      <c r="H1" s="133" t="s">
        <v>18</v>
      </c>
      <c r="I1" s="133"/>
      <c r="J1" s="133"/>
      <c r="K1" s="118">
        <v>0.05</v>
      </c>
    </row>
    <row r="2" spans="2:13" ht="18">
      <c r="E2" s="16"/>
      <c r="F2" s="16"/>
      <c r="G2" s="16"/>
      <c r="H2" s="134" t="s">
        <v>19</v>
      </c>
      <c r="I2" s="134"/>
      <c r="J2" s="134"/>
    </row>
    <row r="3" spans="2:13" ht="39.75" customHeight="1">
      <c r="E3" s="17"/>
      <c r="F3" s="17"/>
      <c r="G3" s="17"/>
      <c r="H3" s="135" t="s">
        <v>198</v>
      </c>
      <c r="I3" s="135"/>
      <c r="J3" s="135"/>
    </row>
    <row r="4" spans="2:13" ht="5.25" customHeight="1"/>
    <row r="5" spans="2:13" ht="33" customHeight="1">
      <c r="B5" s="18"/>
      <c r="C5" s="136" t="s">
        <v>199</v>
      </c>
      <c r="D5" s="136"/>
      <c r="E5" s="136"/>
      <c r="F5" s="136"/>
      <c r="G5" s="136"/>
      <c r="H5" s="136"/>
      <c r="I5" s="136"/>
      <c r="J5" s="136"/>
    </row>
    <row r="6" spans="2:13" ht="8.4" customHeight="1"/>
    <row r="7" spans="2:13" ht="18">
      <c r="B7" s="19"/>
      <c r="C7" s="19"/>
      <c r="D7" s="19"/>
      <c r="E7" s="19"/>
      <c r="F7" s="19"/>
      <c r="G7" s="19"/>
      <c r="H7" s="19"/>
      <c r="I7" s="20" t="s">
        <v>20</v>
      </c>
    </row>
    <row r="8" spans="2:13" ht="7.2" customHeight="1" thickBot="1">
      <c r="C8" s="21"/>
      <c r="D8" s="22"/>
      <c r="E8" s="22"/>
      <c r="F8" s="22"/>
      <c r="G8" s="22"/>
      <c r="H8" s="137"/>
      <c r="I8" s="137"/>
      <c r="J8" s="137"/>
    </row>
    <row r="9" spans="2:13" ht="16.5" customHeight="1" thickBot="1">
      <c r="C9" s="138" t="s">
        <v>21</v>
      </c>
      <c r="D9" s="138" t="s">
        <v>22</v>
      </c>
      <c r="E9" s="140" t="s">
        <v>23</v>
      </c>
      <c r="F9" s="142" t="s">
        <v>24</v>
      </c>
      <c r="G9" s="144" t="s">
        <v>25</v>
      </c>
      <c r="H9" s="144"/>
      <c r="I9" s="144"/>
      <c r="J9" s="145"/>
    </row>
    <row r="10" spans="2:13" ht="51" thickBot="1">
      <c r="C10" s="138"/>
      <c r="D10" s="139"/>
      <c r="E10" s="141"/>
      <c r="F10" s="143"/>
      <c r="G10" s="108" t="s">
        <v>26</v>
      </c>
      <c r="H10" s="109" t="s">
        <v>27</v>
      </c>
      <c r="I10" s="109" t="s">
        <v>28</v>
      </c>
      <c r="J10" s="110" t="s">
        <v>29</v>
      </c>
    </row>
    <row r="11" spans="2:13" ht="16.8">
      <c r="C11" s="111">
        <v>1</v>
      </c>
      <c r="D11" s="29">
        <v>2</v>
      </c>
      <c r="E11" s="29">
        <v>3</v>
      </c>
      <c r="F11" s="29">
        <v>4</v>
      </c>
      <c r="G11" s="29">
        <v>5</v>
      </c>
      <c r="H11" s="29">
        <v>6</v>
      </c>
      <c r="I11" s="29">
        <v>7</v>
      </c>
      <c r="J11" s="29">
        <v>8</v>
      </c>
    </row>
    <row r="12" spans="2:13" ht="33.6">
      <c r="C12" s="23">
        <v>1</v>
      </c>
      <c r="D12" s="24" t="s">
        <v>30</v>
      </c>
      <c r="E12" s="25" t="s">
        <v>31</v>
      </c>
      <c r="F12" s="26">
        <f>G12+H12+I12+J12</f>
        <v>114806.32694320833</v>
      </c>
      <c r="G12" s="26">
        <f>'[2]Додаток 3_Річн.план'!G31</f>
        <v>93312.749808862529</v>
      </c>
      <c r="H12" s="26">
        <f>'[2]Додаток 3_Річн.план'!G33</f>
        <v>15.110874240000012</v>
      </c>
      <c r="I12" s="26">
        <f>'[2]Додаток 3_Річн.план'!G35</f>
        <v>13840.503074019613</v>
      </c>
      <c r="J12" s="26">
        <f>'[2]Додаток 3_Річн.план'!G37</f>
        <v>7637.9631860861991</v>
      </c>
    </row>
    <row r="13" spans="2:13" ht="33.6">
      <c r="C13" s="23">
        <v>2</v>
      </c>
      <c r="D13" s="24" t="s">
        <v>32</v>
      </c>
      <c r="E13" s="25" t="s">
        <v>33</v>
      </c>
      <c r="F13" s="26">
        <f>G13+H13+I13+J13</f>
        <v>73.295134765708113</v>
      </c>
      <c r="G13" s="26">
        <f>'[2]Додаток 3_Річн.план'!G40</f>
        <v>59.479859075708113</v>
      </c>
      <c r="H13" s="26">
        <f>'[2]Додаток 3_Річн.план'!G41</f>
        <v>9.6319999999999999E-3</v>
      </c>
      <c r="I13" s="26">
        <f>'[2]Додаток 3_Річн.план'!G42</f>
        <v>8.82223778</v>
      </c>
      <c r="J13" s="26">
        <f>'[2]Додаток 3_Річн.план'!G43</f>
        <v>4.9834059100000019</v>
      </c>
    </row>
    <row r="14" spans="2:13" ht="16.95" customHeight="1">
      <c r="C14" s="146" t="s">
        <v>34</v>
      </c>
      <c r="D14" s="147"/>
      <c r="E14" s="147"/>
      <c r="F14" s="147"/>
      <c r="G14" s="147"/>
      <c r="H14" s="147"/>
      <c r="I14" s="147"/>
      <c r="J14" s="148"/>
    </row>
    <row r="15" spans="2:13" ht="36" customHeight="1">
      <c r="C15" s="23">
        <v>3</v>
      </c>
      <c r="D15" s="24" t="s">
        <v>35</v>
      </c>
      <c r="E15" s="25" t="s">
        <v>36</v>
      </c>
      <c r="G15" s="34"/>
      <c r="H15" s="34"/>
      <c r="I15" s="34"/>
      <c r="J15" s="34"/>
    </row>
    <row r="16" spans="2:13" ht="16.8">
      <c r="C16" s="27" t="s">
        <v>37</v>
      </c>
      <c r="D16" s="28" t="s">
        <v>38</v>
      </c>
      <c r="E16" s="29" t="s">
        <v>36</v>
      </c>
      <c r="F16" s="30">
        <f>SUM(F17:F19)</f>
        <v>115309.97067206478</v>
      </c>
      <c r="G16" s="30">
        <f>SUM(G17:G19)</f>
        <v>85803.290645375368</v>
      </c>
      <c r="H16" s="30">
        <f>SUM(H17:H19)</f>
        <v>8.3155841976821261</v>
      </c>
      <c r="I16" s="30">
        <f>SUM(I17:I19)</f>
        <v>19008.443098340984</v>
      </c>
      <c r="J16" s="30">
        <f>SUM(J17:J19)</f>
        <v>10489.921344150738</v>
      </c>
      <c r="M16" s="119" t="s">
        <v>200</v>
      </c>
    </row>
    <row r="17" spans="3:13" ht="38.25" customHeight="1">
      <c r="C17" s="23" t="s">
        <v>39</v>
      </c>
      <c r="D17" s="24" t="s">
        <v>40</v>
      </c>
      <c r="E17" s="25" t="s">
        <v>36</v>
      </c>
      <c r="F17" s="26">
        <f>[2]Прямі!E11</f>
        <v>107087.98471660257</v>
      </c>
      <c r="G17" s="26">
        <f>[2]Прямі!F11</f>
        <v>79120.591713864851</v>
      </c>
      <c r="H17" s="26">
        <f>[2]Прямі!G11</f>
        <v>7.2334017162454129</v>
      </c>
      <c r="I17" s="26">
        <f>[2]Прямі!H11</f>
        <v>18017.239695871598</v>
      </c>
      <c r="J17" s="26">
        <f>[2]Прямі!I11</f>
        <v>9942.9199051498781</v>
      </c>
      <c r="M17" s="119" t="s">
        <v>200</v>
      </c>
    </row>
    <row r="18" spans="3:13" ht="50.4">
      <c r="C18" s="23" t="s">
        <v>41</v>
      </c>
      <c r="D18" s="24" t="s">
        <v>42</v>
      </c>
      <c r="E18" s="25" t="s">
        <v>36</v>
      </c>
      <c r="F18" s="26">
        <f>[2]Прямі!E12</f>
        <v>8221.9859554622035</v>
      </c>
      <c r="G18" s="26">
        <f>[2]Прямі!F12</f>
        <v>6682.6989315105229</v>
      </c>
      <c r="H18" s="26">
        <f>[2]Прямі!G12</f>
        <v>1.0821824814367125</v>
      </c>
      <c r="I18" s="26">
        <f>[2]Прямі!H12</f>
        <v>991.20340246938486</v>
      </c>
      <c r="J18" s="26">
        <f>[2]Прямі!I12</f>
        <v>547.00143900085925</v>
      </c>
    </row>
    <row r="19" spans="3:13" ht="55.95" customHeight="1">
      <c r="C19" s="23" t="s">
        <v>43</v>
      </c>
      <c r="D19" s="24" t="s">
        <v>44</v>
      </c>
      <c r="E19" s="25" t="s">
        <v>36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</row>
    <row r="20" spans="3:13" ht="67.2">
      <c r="C20" s="27" t="s">
        <v>45</v>
      </c>
      <c r="D20" s="28" t="s">
        <v>46</v>
      </c>
      <c r="E20" s="29" t="s">
        <v>36</v>
      </c>
      <c r="F20" s="31">
        <f>[2]Прямі!E9-[2]Прямі!E11-[2]Прямі!E12+[2]Загальновиробничі!F8+[2]Адміністративні!F8+[2]Прямі!D218</f>
        <v>14480.979772512579</v>
      </c>
      <c r="G20" s="30">
        <f>F20*(G13/F13)</f>
        <v>11751.484445734433</v>
      </c>
      <c r="H20" s="30">
        <f>F20*(H13/F13)</f>
        <v>1.9030021244206605</v>
      </c>
      <c r="I20" s="30">
        <f>F20*(I13/F13)</f>
        <v>1743.0167397720322</v>
      </c>
      <c r="J20" s="30">
        <f>F20*(J13/F13)</f>
        <v>984.57558488169423</v>
      </c>
    </row>
    <row r="21" spans="3:13" ht="50.4">
      <c r="C21" s="23">
        <v>4</v>
      </c>
      <c r="D21" s="24" t="s">
        <v>47</v>
      </c>
      <c r="E21" s="25" t="s">
        <v>36</v>
      </c>
      <c r="F21" s="26">
        <f>F22+F23</f>
        <v>6489.5475222288669</v>
      </c>
      <c r="G21" s="26">
        <f t="shared" ref="G21:J21" si="0">G22+G23</f>
        <v>4877.7387545554902</v>
      </c>
      <c r="H21" s="26">
        <f t="shared" si="0"/>
        <v>0.51092931610513959</v>
      </c>
      <c r="I21" s="26">
        <f t="shared" si="0"/>
        <v>1037.572991905651</v>
      </c>
      <c r="J21" s="26">
        <f t="shared" si="0"/>
        <v>573.72484645162183</v>
      </c>
    </row>
    <row r="22" spans="3:13" ht="16.8">
      <c r="C22" s="23" t="s">
        <v>48</v>
      </c>
      <c r="D22" s="24" t="s">
        <v>49</v>
      </c>
      <c r="E22" s="25" t="s">
        <v>36</v>
      </c>
      <c r="F22" s="26">
        <f>SUM(G22:J22)</f>
        <v>5765.4985336032378</v>
      </c>
      <c r="G22" s="26">
        <f>[2]Тариф_вироб_Дод4!L47</f>
        <v>4290.1645322687682</v>
      </c>
      <c r="H22" s="26">
        <f>[2]Тариф_вироб_Дод4!P47</f>
        <v>0.41577920988410633</v>
      </c>
      <c r="I22" s="26">
        <f>[2]Тариф_вироб_Дод4!T47</f>
        <v>950.42215491704928</v>
      </c>
      <c r="J22" s="26">
        <f>[2]Тариф_вироб_Дод4!X47</f>
        <v>524.49606720753684</v>
      </c>
    </row>
    <row r="23" spans="3:13" ht="16.8">
      <c r="C23" s="23" t="s">
        <v>50</v>
      </c>
      <c r="D23" s="24" t="s">
        <v>51</v>
      </c>
      <c r="E23" s="25" t="s">
        <v>36</v>
      </c>
      <c r="F23" s="26">
        <f>SUM(G23:J23)</f>
        <v>724.04898862562925</v>
      </c>
      <c r="G23" s="26">
        <f>[2]Тариф_вироб_Дод4!L46</f>
        <v>587.57422228672158</v>
      </c>
      <c r="H23" s="26">
        <f>[2]Тариф_вироб_Дод4!P46</f>
        <v>9.5150106221033245E-2</v>
      </c>
      <c r="I23" s="26">
        <f>[2]Тариф_вироб_Дод4!T46</f>
        <v>87.150836988601625</v>
      </c>
      <c r="J23" s="26">
        <f>[2]Тариф_вироб_Дод4!X46</f>
        <v>49.22877924408494</v>
      </c>
      <c r="L23" s="120">
        <f>[1]Тариф_вироб_Дод4!H46</f>
        <v>611.83519326590465</v>
      </c>
    </row>
    <row r="24" spans="3:13" ht="50.4">
      <c r="C24" s="23">
        <v>5</v>
      </c>
      <c r="D24" s="24" t="s">
        <v>52</v>
      </c>
      <c r="E24" s="25" t="s">
        <v>10</v>
      </c>
      <c r="F24" s="26">
        <f>F25+F26</f>
        <v>1054.6062436572929</v>
      </c>
      <c r="G24" s="26">
        <f>G25+G26</f>
        <v>965.499948958608</v>
      </c>
      <c r="H24" s="26">
        <f>H25+H26</f>
        <v>577.81987123242868</v>
      </c>
      <c r="I24" s="26">
        <f>I25+I26</f>
        <v>1442.0621235020976</v>
      </c>
      <c r="J24" s="26">
        <f>J25+J26</f>
        <v>1442.0621235020928</v>
      </c>
    </row>
    <row r="25" spans="3:13" ht="24.75" customHeight="1">
      <c r="C25" s="23" t="s">
        <v>53</v>
      </c>
      <c r="D25" s="24" t="s">
        <v>54</v>
      </c>
      <c r="E25" s="25" t="s">
        <v>10</v>
      </c>
      <c r="F25" s="26">
        <f>F16/F12*1000</f>
        <v>1004.3868987212314</v>
      </c>
      <c r="G25" s="26">
        <f t="shared" ref="G25:J25" si="1">G16/G12*1000</f>
        <v>919.52376091296003</v>
      </c>
      <c r="H25" s="26">
        <f t="shared" si="1"/>
        <v>550.30463926897971</v>
      </c>
      <c r="I25" s="26">
        <f t="shared" si="1"/>
        <v>1373.3924985734263</v>
      </c>
      <c r="J25" s="26">
        <f t="shared" si="1"/>
        <v>1373.3924985734218</v>
      </c>
    </row>
    <row r="26" spans="3:13" ht="16.8">
      <c r="C26" s="23" t="s">
        <v>55</v>
      </c>
      <c r="D26" s="24" t="s">
        <v>56</v>
      </c>
      <c r="E26" s="25" t="s">
        <v>10</v>
      </c>
      <c r="F26" s="26">
        <f>F22/F12*1000</f>
        <v>50.219344936061567</v>
      </c>
      <c r="G26" s="26">
        <f t="shared" ref="G26:J26" si="2">G22/G12*1000</f>
        <v>45.976188045648001</v>
      </c>
      <c r="H26" s="26">
        <f t="shared" si="2"/>
        <v>27.515231963448993</v>
      </c>
      <c r="I26" s="26">
        <f t="shared" si="2"/>
        <v>68.669624928671325</v>
      </c>
      <c r="J26" s="26">
        <f t="shared" si="2"/>
        <v>68.669624928671084</v>
      </c>
    </row>
    <row r="27" spans="3:13" ht="16.8">
      <c r="C27" s="23" t="s">
        <v>57</v>
      </c>
      <c r="D27" s="24" t="s">
        <v>58</v>
      </c>
      <c r="E27" s="25" t="s">
        <v>59</v>
      </c>
      <c r="F27" s="33">
        <f>F26/F25*100</f>
        <v>5</v>
      </c>
      <c r="G27" s="33">
        <f>G26/G25*100</f>
        <v>5</v>
      </c>
      <c r="H27" s="33">
        <f>H26/H25*100</f>
        <v>5.0000000000000018</v>
      </c>
      <c r="I27" s="33">
        <f>I26/I25*100</f>
        <v>5</v>
      </c>
      <c r="J27" s="33">
        <f>J26/J25*100</f>
        <v>5</v>
      </c>
    </row>
    <row r="28" spans="3:13" ht="84">
      <c r="C28" s="23">
        <v>6</v>
      </c>
      <c r="D28" s="24" t="s">
        <v>60</v>
      </c>
      <c r="E28" s="25" t="s">
        <v>61</v>
      </c>
      <c r="F28" s="26">
        <f>F29+F30</f>
        <v>17287.446624460943</v>
      </c>
      <c r="G28" s="26">
        <f>G29+G30</f>
        <v>17287.446624460947</v>
      </c>
      <c r="H28" s="26">
        <f>H29+H30</f>
        <v>17287.446624460943</v>
      </c>
      <c r="I28" s="26">
        <f>I29+I30</f>
        <v>17287.446624460943</v>
      </c>
      <c r="J28" s="26">
        <f>J29+J30</f>
        <v>17287.44662446095</v>
      </c>
      <c r="K28" s="120">
        <f>F28*12</f>
        <v>207449.35949353132</v>
      </c>
      <c r="L28" s="120">
        <f>[1]Тариф_вироб_Дод4!H54</f>
        <v>175298.66204155367</v>
      </c>
    </row>
    <row r="29" spans="3:13" ht="33.6">
      <c r="C29" s="23" t="s">
        <v>62</v>
      </c>
      <c r="D29" s="24" t="s">
        <v>63</v>
      </c>
      <c r="E29" s="25" t="s">
        <v>61</v>
      </c>
      <c r="F29" s="26">
        <f>F20/F13/12*1000</f>
        <v>16464.234880438995</v>
      </c>
      <c r="G29" s="26">
        <f t="shared" ref="G29:J29" si="3">G20/G13/12*1000</f>
        <v>16464.234880438999</v>
      </c>
      <c r="H29" s="26">
        <f t="shared" si="3"/>
        <v>16464.234880438991</v>
      </c>
      <c r="I29" s="26">
        <f t="shared" si="3"/>
        <v>16464.234880438995</v>
      </c>
      <c r="J29" s="26">
        <f t="shared" si="3"/>
        <v>16464.234880438995</v>
      </c>
      <c r="L29" s="120"/>
    </row>
    <row r="30" spans="3:13" ht="33.6">
      <c r="C30" s="23" t="s">
        <v>64</v>
      </c>
      <c r="D30" s="24" t="s">
        <v>65</v>
      </c>
      <c r="E30" s="25" t="s">
        <v>66</v>
      </c>
      <c r="F30" s="26">
        <f>F23/F13/12*1000</f>
        <v>823.21174402194993</v>
      </c>
      <c r="G30" s="26">
        <f t="shared" ref="G30:J30" si="4">G23/G13/12*1000</f>
        <v>823.21174402194958</v>
      </c>
      <c r="H30" s="26">
        <f t="shared" si="4"/>
        <v>823.21174402195163</v>
      </c>
      <c r="I30" s="26">
        <f t="shared" si="4"/>
        <v>823.21174402194981</v>
      </c>
      <c r="J30" s="26">
        <f t="shared" si="4"/>
        <v>823.21174402195356</v>
      </c>
    </row>
    <row r="31" spans="3:13" ht="16.8">
      <c r="C31" s="23" t="s">
        <v>67</v>
      </c>
      <c r="D31" s="24" t="s">
        <v>58</v>
      </c>
      <c r="E31" s="25" t="s">
        <v>59</v>
      </c>
      <c r="F31" s="26">
        <f>F30/F29*100</f>
        <v>5.0000000000000009</v>
      </c>
      <c r="G31" s="26">
        <f>G30/G29*100</f>
        <v>4.9999999999999982</v>
      </c>
      <c r="H31" s="26">
        <f>H30/H29*100</f>
        <v>5.0000000000000124</v>
      </c>
      <c r="I31" s="26">
        <f>I30/I29*100</f>
        <v>5</v>
      </c>
      <c r="J31" s="26">
        <f>J30/J29*100</f>
        <v>5.0000000000000231</v>
      </c>
    </row>
    <row r="32" spans="3:13" ht="16.95" customHeight="1">
      <c r="C32" s="146" t="s">
        <v>68</v>
      </c>
      <c r="D32" s="147"/>
      <c r="E32" s="147"/>
      <c r="F32" s="147"/>
      <c r="G32" s="147"/>
      <c r="H32" s="147"/>
      <c r="I32" s="147"/>
      <c r="J32" s="148"/>
    </row>
    <row r="33" spans="3:12" ht="84">
      <c r="C33" s="23">
        <v>7</v>
      </c>
      <c r="D33" s="24" t="s">
        <v>69</v>
      </c>
      <c r="E33" s="25" t="s">
        <v>33</v>
      </c>
      <c r="F33" s="26">
        <f>F13</f>
        <v>73.295134765708113</v>
      </c>
      <c r="G33" s="26">
        <f t="shared" ref="G33:J33" si="5">G13</f>
        <v>59.479859075708113</v>
      </c>
      <c r="H33" s="26">
        <f t="shared" si="5"/>
        <v>9.6319999999999999E-3</v>
      </c>
      <c r="I33" s="26">
        <f t="shared" si="5"/>
        <v>8.82223778</v>
      </c>
      <c r="J33" s="26">
        <f t="shared" si="5"/>
        <v>4.9834059100000019</v>
      </c>
    </row>
    <row r="34" spans="3:12" ht="50.4">
      <c r="C34" s="23">
        <v>8</v>
      </c>
      <c r="D34" s="24" t="s">
        <v>70</v>
      </c>
      <c r="E34" s="25" t="s">
        <v>36</v>
      </c>
      <c r="F34" s="34">
        <f>[2]Прямі!E60+[2]Загальновиробничі!G8+[2]Адміністративні!G8+[2]Прямі!E218</f>
        <v>14544.42668698502</v>
      </c>
      <c r="G34" s="34">
        <f>F34*(G13/F13)</f>
        <v>11802.972358863626</v>
      </c>
      <c r="H34" s="34">
        <f>F34*(H13/F13)</f>
        <v>1.9113399313181036</v>
      </c>
      <c r="I34" s="34">
        <f>F34*(I13/F13)</f>
        <v>1750.6535872609199</v>
      </c>
      <c r="J34" s="34">
        <f>F34*(J13/F13)</f>
        <v>988.88940092915652</v>
      </c>
    </row>
    <row r="35" spans="3:12" ht="33.6">
      <c r="C35" s="23">
        <v>9</v>
      </c>
      <c r="D35" s="24" t="s">
        <v>71</v>
      </c>
      <c r="E35" s="25" t="s">
        <v>36</v>
      </c>
      <c r="F35" s="34">
        <f>F34*5%</f>
        <v>727.22133434925104</v>
      </c>
      <c r="G35" s="34">
        <f t="shared" ref="G35:J35" si="6">G34*5%</f>
        <v>590.14861794318131</v>
      </c>
      <c r="H35" s="34">
        <f t="shared" si="6"/>
        <v>9.5566996565905185E-2</v>
      </c>
      <c r="I35" s="34">
        <f t="shared" si="6"/>
        <v>87.532679363046</v>
      </c>
      <c r="J35" s="34">
        <f t="shared" si="6"/>
        <v>49.44447004645783</v>
      </c>
    </row>
    <row r="36" spans="3:12" ht="67.2">
      <c r="C36" s="23">
        <v>10</v>
      </c>
      <c r="D36" s="24" t="s">
        <v>72</v>
      </c>
      <c r="E36" s="25" t="s">
        <v>73</v>
      </c>
      <c r="F36" s="26">
        <f>F37+F38</f>
        <v>17363.189783049638</v>
      </c>
      <c r="G36" s="26">
        <f>G37+G38</f>
        <v>17363.189783049638</v>
      </c>
      <c r="H36" s="26">
        <f>H37+H38</f>
        <v>17363.189783049635</v>
      </c>
      <c r="I36" s="26">
        <f>I37+I38</f>
        <v>17363.189783049638</v>
      </c>
      <c r="J36" s="26">
        <f>J37+J38</f>
        <v>17363.189783049638</v>
      </c>
      <c r="K36" s="120">
        <f>F36*12</f>
        <v>208358.27739659566</v>
      </c>
      <c r="L36" s="120">
        <f>'[1]Тариф_трансп ТЕ_Дод5'!H47</f>
        <v>179158.50946775652</v>
      </c>
    </row>
    <row r="37" spans="3:12" ht="33.6">
      <c r="C37" s="23" t="s">
        <v>74</v>
      </c>
      <c r="D37" s="24" t="s">
        <v>75</v>
      </c>
      <c r="E37" s="25" t="s">
        <v>73</v>
      </c>
      <c r="F37" s="26">
        <f>F34/F33/12*1000</f>
        <v>16536.371221952035</v>
      </c>
      <c r="G37" s="26">
        <f t="shared" ref="G37:J37" si="7">G34/G33/12*1000</f>
        <v>16536.371221952035</v>
      </c>
      <c r="H37" s="26">
        <f t="shared" si="7"/>
        <v>16536.371221952031</v>
      </c>
      <c r="I37" s="26">
        <f t="shared" si="7"/>
        <v>16536.371221952035</v>
      </c>
      <c r="J37" s="26">
        <f t="shared" si="7"/>
        <v>16536.371221952035</v>
      </c>
    </row>
    <row r="38" spans="3:12" ht="33.6">
      <c r="C38" s="23" t="s">
        <v>76</v>
      </c>
      <c r="D38" s="24" t="s">
        <v>77</v>
      </c>
      <c r="E38" s="25" t="s">
        <v>73</v>
      </c>
      <c r="F38" s="26">
        <f>F35/F13/12*1000</f>
        <v>826.81856109760167</v>
      </c>
      <c r="G38" s="26">
        <f t="shared" ref="G38:J38" si="8">G35/G13/12*1000</f>
        <v>826.81856109760167</v>
      </c>
      <c r="H38" s="26">
        <f t="shared" si="8"/>
        <v>826.81856109760167</v>
      </c>
      <c r="I38" s="26">
        <f t="shared" si="8"/>
        <v>826.81856109760167</v>
      </c>
      <c r="J38" s="26">
        <f t="shared" si="8"/>
        <v>826.81856109760167</v>
      </c>
    </row>
    <row r="39" spans="3:12" ht="16.8">
      <c r="C39" s="23" t="s">
        <v>78</v>
      </c>
      <c r="D39" s="24" t="s">
        <v>58</v>
      </c>
      <c r="E39" s="25" t="s">
        <v>59</v>
      </c>
      <c r="F39" s="26">
        <f>F38/F37*100</f>
        <v>5</v>
      </c>
      <c r="G39" s="26">
        <f>G38/G37*100</f>
        <v>5</v>
      </c>
      <c r="H39" s="26">
        <f>H38/H37*100</f>
        <v>5.0000000000000009</v>
      </c>
      <c r="I39" s="26">
        <f>I38/I37*100</f>
        <v>5</v>
      </c>
      <c r="J39" s="26">
        <f>J38/J37*100</f>
        <v>5</v>
      </c>
    </row>
    <row r="40" spans="3:12" ht="16.5" customHeight="1">
      <c r="C40" s="146" t="s">
        <v>79</v>
      </c>
      <c r="D40" s="147"/>
      <c r="E40" s="147"/>
      <c r="F40" s="147"/>
      <c r="G40" s="147"/>
      <c r="H40" s="147"/>
      <c r="I40" s="147"/>
      <c r="J40" s="148"/>
    </row>
    <row r="41" spans="3:12" ht="50.4">
      <c r="C41" s="23">
        <v>11</v>
      </c>
      <c r="D41" s="24" t="s">
        <v>80</v>
      </c>
      <c r="E41" s="25" t="s">
        <v>36</v>
      </c>
      <c r="F41" s="34">
        <f>[2]Прямі!E117+[2]Загальновиробничі!H8+[2]Адміністративні!H8+[2]Прямі!F218</f>
        <v>407.31037434233804</v>
      </c>
      <c r="G41" s="34">
        <f>F41*(G13/F13)</f>
        <v>330.53713242220448</v>
      </c>
      <c r="H41" s="34">
        <f>F41*(H13/F13)</f>
        <v>5.3526247522515176E-2</v>
      </c>
      <c r="I41" s="34">
        <f>F41*(I13/F13)</f>
        <v>49.026296004439871</v>
      </c>
      <c r="J41" s="34">
        <f>F41*(J13/F13)</f>
        <v>27.693419668171209</v>
      </c>
    </row>
    <row r="42" spans="3:12" ht="33.6">
      <c r="C42" s="23">
        <v>12</v>
      </c>
      <c r="D42" s="24" t="s">
        <v>81</v>
      </c>
      <c r="E42" s="25" t="s">
        <v>36</v>
      </c>
      <c r="F42" s="34">
        <f>F41*5%</f>
        <v>20.365518717116903</v>
      </c>
      <c r="G42" s="34">
        <f t="shared" ref="G42:J42" si="9">G41*5%</f>
        <v>16.526856621110223</v>
      </c>
      <c r="H42" s="34">
        <f t="shared" si="9"/>
        <v>2.6763123761257591E-3</v>
      </c>
      <c r="I42" s="34">
        <f t="shared" si="9"/>
        <v>2.4513148002219936</v>
      </c>
      <c r="J42" s="34">
        <f t="shared" si="9"/>
        <v>1.3846709834085607</v>
      </c>
    </row>
    <row r="43" spans="3:12" ht="67.2">
      <c r="C43" s="23">
        <v>13</v>
      </c>
      <c r="D43" s="24" t="s">
        <v>82</v>
      </c>
      <c r="E43" s="25" t="s">
        <v>12</v>
      </c>
      <c r="F43" s="26">
        <f>F44+F45</f>
        <v>486.24861484843007</v>
      </c>
      <c r="G43" s="26">
        <f>G44+G45</f>
        <v>486.24861484843007</v>
      </c>
      <c r="H43" s="26">
        <f>H44+H45</f>
        <v>486.24861484843007</v>
      </c>
      <c r="I43" s="26">
        <f>I44+I45</f>
        <v>486.24861484843007</v>
      </c>
      <c r="J43" s="26">
        <f>J44+J45</f>
        <v>486.24861484843007</v>
      </c>
      <c r="K43" s="120">
        <f>F43*12</f>
        <v>5834.9833781811612</v>
      </c>
      <c r="L43" s="120">
        <f>'[1]Тариф_постач ТЕ_Дод6'!H44</f>
        <v>4537.1861552419214</v>
      </c>
    </row>
    <row r="44" spans="3:12" ht="33.6">
      <c r="C44" s="23" t="s">
        <v>83</v>
      </c>
      <c r="D44" s="24" t="s">
        <v>84</v>
      </c>
      <c r="E44" s="25" t="s">
        <v>12</v>
      </c>
      <c r="F44" s="26">
        <f>F41/F13/12*1000</f>
        <v>463.09391890326674</v>
      </c>
      <c r="G44" s="26">
        <f t="shared" ref="G44:J44" si="10">G41/G13/12*1000</f>
        <v>463.09391890326674</v>
      </c>
      <c r="H44" s="26">
        <f t="shared" si="10"/>
        <v>463.09391890326674</v>
      </c>
      <c r="I44" s="26">
        <f t="shared" si="10"/>
        <v>463.09391890326674</v>
      </c>
      <c r="J44" s="26">
        <f t="shared" si="10"/>
        <v>463.09391890326674</v>
      </c>
    </row>
    <row r="45" spans="3:12" ht="33.6">
      <c r="C45" s="23" t="s">
        <v>85</v>
      </c>
      <c r="D45" s="24" t="s">
        <v>86</v>
      </c>
      <c r="E45" s="25" t="s">
        <v>12</v>
      </c>
      <c r="F45" s="26">
        <f>F42/F13/12*1000</f>
        <v>23.154695945163336</v>
      </c>
      <c r="G45" s="26">
        <f t="shared" ref="G45:J45" si="11">G42/G13/12*1000</f>
        <v>23.154695945163336</v>
      </c>
      <c r="H45" s="26">
        <f t="shared" si="11"/>
        <v>23.15469594516334</v>
      </c>
      <c r="I45" s="26">
        <f t="shared" si="11"/>
        <v>23.154695945163336</v>
      </c>
      <c r="J45" s="26">
        <f t="shared" si="11"/>
        <v>23.15469594516334</v>
      </c>
    </row>
    <row r="46" spans="3:12" ht="16.8">
      <c r="C46" s="23" t="s">
        <v>87</v>
      </c>
      <c r="D46" s="24" t="s">
        <v>58</v>
      </c>
      <c r="E46" s="25" t="s">
        <v>59</v>
      </c>
      <c r="F46" s="26">
        <f>F45/F44*100</f>
        <v>5</v>
      </c>
      <c r="G46" s="26">
        <f>G45/G44*100</f>
        <v>5</v>
      </c>
      <c r="H46" s="26">
        <f>H45/H44*100</f>
        <v>5</v>
      </c>
      <c r="I46" s="26">
        <f>I45/I44*100</f>
        <v>5</v>
      </c>
      <c r="J46" s="26">
        <f>J45/J44*100</f>
        <v>5</v>
      </c>
    </row>
    <row r="47" spans="3:12" ht="16.5" customHeight="1">
      <c r="C47" s="146" t="s">
        <v>88</v>
      </c>
      <c r="D47" s="147"/>
      <c r="E47" s="147"/>
      <c r="F47" s="147"/>
      <c r="G47" s="147"/>
      <c r="H47" s="147"/>
      <c r="I47" s="147"/>
      <c r="J47" s="148"/>
    </row>
    <row r="48" spans="3:12" ht="50.4">
      <c r="C48" s="23">
        <v>14</v>
      </c>
      <c r="D48" s="24" t="s">
        <v>89</v>
      </c>
      <c r="E48" s="25" t="s">
        <v>10</v>
      </c>
      <c r="F48" s="35">
        <f>F49+F50</f>
        <v>1054.6062436572929</v>
      </c>
      <c r="G48" s="35">
        <f>G49+G50</f>
        <v>965.499948958608</v>
      </c>
      <c r="H48" s="35">
        <f>H49+H50</f>
        <v>577.81987123242868</v>
      </c>
      <c r="I48" s="35">
        <f>I49+I50</f>
        <v>1442.0621235020976</v>
      </c>
      <c r="J48" s="35">
        <f>J49+J50</f>
        <v>1442.0621235020928</v>
      </c>
    </row>
    <row r="49" spans="3:12" ht="16.8">
      <c r="C49" s="23" t="s">
        <v>90</v>
      </c>
      <c r="D49" s="24" t="s">
        <v>91</v>
      </c>
      <c r="E49" s="25" t="s">
        <v>10</v>
      </c>
      <c r="F49" s="26">
        <f>F25</f>
        <v>1004.3868987212314</v>
      </c>
      <c r="G49" s="26">
        <f t="shared" ref="F49:J50" si="12">G25</f>
        <v>919.52376091296003</v>
      </c>
      <c r="H49" s="26">
        <f t="shared" si="12"/>
        <v>550.30463926897971</v>
      </c>
      <c r="I49" s="26">
        <f t="shared" si="12"/>
        <v>1373.3924985734263</v>
      </c>
      <c r="J49" s="26">
        <f t="shared" si="12"/>
        <v>1373.3924985734218</v>
      </c>
    </row>
    <row r="50" spans="3:12" ht="16.8">
      <c r="C50" s="23" t="s">
        <v>92</v>
      </c>
      <c r="D50" s="24" t="s">
        <v>93</v>
      </c>
      <c r="E50" s="25" t="s">
        <v>10</v>
      </c>
      <c r="F50" s="26">
        <f t="shared" si="12"/>
        <v>50.219344936061567</v>
      </c>
      <c r="G50" s="26">
        <f t="shared" si="12"/>
        <v>45.976188045648001</v>
      </c>
      <c r="H50" s="26">
        <f t="shared" si="12"/>
        <v>27.515231963448993</v>
      </c>
      <c r="I50" s="26">
        <f t="shared" si="12"/>
        <v>68.669624928671325</v>
      </c>
      <c r="J50" s="26">
        <f t="shared" si="12"/>
        <v>68.669624928671084</v>
      </c>
    </row>
    <row r="51" spans="3:12" ht="16.8">
      <c r="C51" s="23" t="s">
        <v>94</v>
      </c>
      <c r="D51" s="24" t="s">
        <v>58</v>
      </c>
      <c r="E51" s="25" t="s">
        <v>59</v>
      </c>
      <c r="F51" s="36">
        <f>F31</f>
        <v>5.0000000000000009</v>
      </c>
      <c r="G51" s="26">
        <f>G31</f>
        <v>4.9999999999999982</v>
      </c>
      <c r="H51" s="26">
        <f>H31</f>
        <v>5.0000000000000124</v>
      </c>
      <c r="I51" s="26">
        <f>I31</f>
        <v>5</v>
      </c>
      <c r="J51" s="26">
        <f>J31</f>
        <v>5.0000000000000231</v>
      </c>
    </row>
    <row r="52" spans="3:12" ht="84">
      <c r="C52" s="23">
        <v>15</v>
      </c>
      <c r="D52" s="37" t="s">
        <v>95</v>
      </c>
      <c r="E52" s="25" t="s">
        <v>12</v>
      </c>
      <c r="F52" s="35">
        <f>F53+F54</f>
        <v>35136.885022359013</v>
      </c>
      <c r="G52" s="35">
        <f>G53+G54</f>
        <v>35136.885022359013</v>
      </c>
      <c r="H52" s="35">
        <f>H53+H54</f>
        <v>35136.885022359005</v>
      </c>
      <c r="I52" s="35">
        <f>I53+I54</f>
        <v>35136.885022359013</v>
      </c>
      <c r="J52" s="35">
        <f>J53+J54</f>
        <v>35136.885022359013</v>
      </c>
      <c r="K52" s="32">
        <f>F52*12</f>
        <v>421642.62026830815</v>
      </c>
      <c r="L52" s="120">
        <f>'[1]Тариф_постач ТЕ_Дод6'!H44+'[1]Тариф_трансп ТЕ_Дод5'!H47+[1]Тариф_вироб_Дод4!H54</f>
        <v>358994.35766455211</v>
      </c>
    </row>
    <row r="53" spans="3:12" ht="33.6">
      <c r="C53" s="38" t="s">
        <v>96</v>
      </c>
      <c r="D53" s="24" t="s">
        <v>97</v>
      </c>
      <c r="E53" s="25" t="s">
        <v>12</v>
      </c>
      <c r="F53" s="26">
        <f>F29+F37+F44</f>
        <v>33463.700021294295</v>
      </c>
      <c r="G53" s="26">
        <f t="shared" ref="F53:J54" si="13">G29+G37+G44</f>
        <v>33463.700021294295</v>
      </c>
      <c r="H53" s="26">
        <f t="shared" si="13"/>
        <v>33463.700021294288</v>
      </c>
      <c r="I53" s="26">
        <f t="shared" si="13"/>
        <v>33463.700021294295</v>
      </c>
      <c r="J53" s="26">
        <f t="shared" si="13"/>
        <v>33463.700021294295</v>
      </c>
    </row>
    <row r="54" spans="3:12" ht="33.6">
      <c r="C54" s="23" t="s">
        <v>98</v>
      </c>
      <c r="D54" s="39" t="s">
        <v>99</v>
      </c>
      <c r="E54" s="25" t="s">
        <v>12</v>
      </c>
      <c r="F54" s="26">
        <f t="shared" si="13"/>
        <v>1673.1850010647149</v>
      </c>
      <c r="G54" s="26">
        <f t="shared" si="13"/>
        <v>1673.1850010647147</v>
      </c>
      <c r="H54" s="26">
        <f t="shared" si="13"/>
        <v>1673.1850010647167</v>
      </c>
      <c r="I54" s="26">
        <f t="shared" si="13"/>
        <v>1673.1850010647149</v>
      </c>
      <c r="J54" s="26">
        <f t="shared" si="13"/>
        <v>1673.1850010647186</v>
      </c>
    </row>
    <row r="55" spans="3:12" ht="16.8">
      <c r="C55" s="23" t="s">
        <v>100</v>
      </c>
      <c r="D55" s="24" t="s">
        <v>58</v>
      </c>
      <c r="E55" s="25" t="s">
        <v>59</v>
      </c>
      <c r="F55" s="26">
        <f>F54/F53*100</f>
        <v>5</v>
      </c>
      <c r="G55" s="26">
        <f>G54/G53*100</f>
        <v>5</v>
      </c>
      <c r="H55" s="26">
        <f>H54/H53*100</f>
        <v>5.0000000000000071</v>
      </c>
      <c r="I55" s="26">
        <f>I54/I53*100</f>
        <v>5</v>
      </c>
      <c r="J55" s="26">
        <f>J54/J53*100</f>
        <v>5.0000000000000115</v>
      </c>
    </row>
    <row r="58" spans="3:12" ht="18">
      <c r="D58" s="20" t="s">
        <v>16</v>
      </c>
      <c r="H58" s="40" t="s">
        <v>17</v>
      </c>
    </row>
    <row r="74" spans="4:10" ht="18">
      <c r="D74" s="42"/>
      <c r="E74" s="42"/>
      <c r="F74" s="41"/>
      <c r="G74" s="149"/>
      <c r="H74" s="149"/>
      <c r="I74" s="150"/>
      <c r="J74" s="150"/>
    </row>
    <row r="75" spans="4:10" ht="18.75" customHeight="1">
      <c r="E75" s="42"/>
      <c r="F75" s="41"/>
      <c r="G75" s="132"/>
      <c r="H75" s="132"/>
      <c r="I75" s="132"/>
      <c r="J75" s="132"/>
    </row>
    <row r="76" spans="4:10" ht="18">
      <c r="D76" s="43"/>
      <c r="E76" s="44"/>
      <c r="F76" s="19"/>
      <c r="G76" s="19"/>
      <c r="H76" s="19"/>
      <c r="I76" s="19"/>
      <c r="J76" s="19"/>
    </row>
  </sheetData>
  <mergeCells count="16">
    <mergeCell ref="G75:J75"/>
    <mergeCell ref="H1:J1"/>
    <mergeCell ref="H2:J2"/>
    <mergeCell ref="H3:J3"/>
    <mergeCell ref="C5:J5"/>
    <mergeCell ref="H8:J8"/>
    <mergeCell ref="C9:C10"/>
    <mergeCell ref="D9:D10"/>
    <mergeCell ref="E9:E10"/>
    <mergeCell ref="F9:F10"/>
    <mergeCell ref="G9:J9"/>
    <mergeCell ref="C14:J14"/>
    <mergeCell ref="C32:J32"/>
    <mergeCell ref="C40:J40"/>
    <mergeCell ref="C47:J47"/>
    <mergeCell ref="G74:J74"/>
  </mergeCells>
  <pageMargins left="0.70866141732283472" right="0.15748031496062992" top="0.15748031496062992" bottom="0.15748031496062992" header="0.19685039370078741" footer="0.15748031496062992"/>
  <pageSetup paperSize="9" scale="68" fitToHeight="2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65"/>
  <sheetViews>
    <sheetView tabSelected="1" topLeftCell="A37" workbookViewId="0">
      <selection activeCell="B6" sqref="B6:H52"/>
    </sheetView>
  </sheetViews>
  <sheetFormatPr defaultColWidth="8.09765625" defaultRowHeight="13.2"/>
  <cols>
    <col min="1" max="1" width="1.69921875" style="14" customWidth="1"/>
    <col min="2" max="2" width="9.3984375" style="14" customWidth="1"/>
    <col min="3" max="3" width="64" style="14" customWidth="1"/>
    <col min="4" max="4" width="15.5" style="14" customWidth="1"/>
    <col min="5" max="5" width="0" style="14" hidden="1" customWidth="1"/>
    <col min="6" max="6" width="13.69921875" style="14" hidden="1" customWidth="1"/>
    <col min="7" max="7" width="0" style="14" hidden="1" customWidth="1"/>
    <col min="8" max="8" width="15.3984375" style="14" customWidth="1"/>
    <col min="9" max="9" width="10.5" style="14" hidden="1" customWidth="1"/>
    <col min="10" max="10" width="9.59765625" style="14" hidden="1" customWidth="1"/>
    <col min="11" max="11" width="9.09765625" style="14" hidden="1" customWidth="1"/>
    <col min="12" max="12" width="11.59765625" style="14" customWidth="1"/>
    <col min="13" max="13" width="9.69921875" style="14" bestFit="1" customWidth="1"/>
    <col min="14" max="16384" width="8.09765625" style="14"/>
  </cols>
  <sheetData>
    <row r="1" spans="2:12" ht="83.4" customHeight="1">
      <c r="D1" s="133" t="s">
        <v>201</v>
      </c>
      <c r="E1" s="133"/>
      <c r="F1" s="133"/>
      <c r="G1" s="133"/>
      <c r="H1" s="133"/>
    </row>
    <row r="2" spans="2:12" ht="5.4" customHeight="1"/>
    <row r="3" spans="2:12" ht="41.25" customHeight="1">
      <c r="B3" s="152" t="s">
        <v>101</v>
      </c>
      <c r="C3" s="152"/>
      <c r="D3" s="152"/>
      <c r="E3" s="152"/>
      <c r="F3" s="152"/>
      <c r="G3" s="152"/>
      <c r="H3" s="152"/>
    </row>
    <row r="4" spans="2:12" ht="3" customHeight="1"/>
    <row r="5" spans="2:12" ht="18.600000000000001" thickBot="1">
      <c r="B5" s="19"/>
      <c r="C5" s="19"/>
      <c r="D5" s="19"/>
      <c r="E5" s="19"/>
      <c r="F5" s="19"/>
      <c r="G5" s="19"/>
      <c r="H5" s="20" t="s">
        <v>20</v>
      </c>
    </row>
    <row r="6" spans="2:12" ht="31.8" thickBot="1">
      <c r="B6" s="153" t="s">
        <v>21</v>
      </c>
      <c r="C6" s="155" t="s">
        <v>102</v>
      </c>
      <c r="D6" s="157" t="s">
        <v>23</v>
      </c>
      <c r="E6" s="113" t="s">
        <v>103</v>
      </c>
      <c r="F6" s="113"/>
      <c r="G6" s="113"/>
      <c r="H6" s="121" t="s">
        <v>104</v>
      </c>
    </row>
    <row r="7" spans="2:12" ht="29.4" customHeight="1" thickBot="1">
      <c r="B7" s="154"/>
      <c r="C7" s="156"/>
      <c r="D7" s="158"/>
      <c r="E7" s="114" t="s">
        <v>105</v>
      </c>
      <c r="F7" s="115" t="s">
        <v>106</v>
      </c>
      <c r="G7" s="116" t="s">
        <v>107</v>
      </c>
      <c r="H7" s="117" t="s">
        <v>108</v>
      </c>
    </row>
    <row r="8" spans="2:12" ht="18">
      <c r="B8" s="45" t="s">
        <v>109</v>
      </c>
      <c r="C8" s="46" t="s">
        <v>110</v>
      </c>
      <c r="D8" s="47" t="s">
        <v>111</v>
      </c>
      <c r="E8" s="48" t="e">
        <f>E9+E17+E18+E22</f>
        <v>#REF!</v>
      </c>
      <c r="F8" s="49" t="e">
        <f>F9+F17+F18+F22</f>
        <v>#REF!</v>
      </c>
      <c r="G8" s="49"/>
      <c r="H8" s="50">
        <f>H9+H17+H18+H22</f>
        <v>98666.418679970491</v>
      </c>
      <c r="I8" s="32"/>
      <c r="L8" s="32"/>
    </row>
    <row r="9" spans="2:12" ht="17.399999999999999">
      <c r="B9" s="51" t="s">
        <v>112</v>
      </c>
      <c r="C9" s="52" t="s">
        <v>113</v>
      </c>
      <c r="D9" s="53" t="s">
        <v>111</v>
      </c>
      <c r="E9" s="54" t="e">
        <f>E10+E16</f>
        <v>#REF!</v>
      </c>
      <c r="F9" s="55" t="e">
        <f>F10+F16</f>
        <v>#REF!</v>
      </c>
      <c r="G9" s="55" t="e">
        <f>G10+G16</f>
        <v>#REF!</v>
      </c>
      <c r="H9" s="56">
        <f>H10+H16+H13+H14+H15</f>
        <v>95776.93095304085</v>
      </c>
      <c r="J9" s="32"/>
      <c r="L9" s="32"/>
    </row>
    <row r="10" spans="2:12" ht="18">
      <c r="B10" s="57" t="s">
        <v>114</v>
      </c>
      <c r="C10" s="58" t="s">
        <v>115</v>
      </c>
      <c r="D10" s="59" t="s">
        <v>111</v>
      </c>
      <c r="E10" s="60">
        <f>[2]Прямі!C62</f>
        <v>717.94762000000003</v>
      </c>
      <c r="F10" s="61">
        <f>[2]Прямі!D62</f>
        <v>792.09996000000001</v>
      </c>
      <c r="G10" s="61" t="e">
        <f>[2]Прямі!#REF!</f>
        <v>#REF!</v>
      </c>
      <c r="H10" s="62">
        <f>'[2]Тариф на ЦО_Двоставк'!H10</f>
        <v>95691.942873822845</v>
      </c>
      <c r="I10" s="32">
        <f>[1]Тариф_ТЕ_Дод10_Двоставк!G16+[1]Тариф_ТЕ_Дод10_Двоставк!G20+[1]Тариф_ТЕ_Дод10_Двоставк!G21+[1]Тариф_ТЕ_Дод10_Двоставк!G34+[1]Тариф_ТЕ_Дод10_Двоставк!G35+[1]Тариф_ТЕ_Дод10_Двоставк!G41+[1]Тариф_ТЕ_Дод10_Двоставк!G42</f>
        <v>111037.8870259018</v>
      </c>
      <c r="L10" s="32"/>
    </row>
    <row r="11" spans="2:12" ht="18">
      <c r="B11" s="57" t="s">
        <v>116</v>
      </c>
      <c r="C11" s="63" t="s">
        <v>117</v>
      </c>
      <c r="D11" s="59" t="s">
        <v>111</v>
      </c>
      <c r="E11" s="60"/>
      <c r="F11" s="61"/>
      <c r="G11" s="61"/>
      <c r="H11" s="62">
        <f>'[2]Тариф на ЦО_Двоставк'!H11</f>
        <v>20837.156651039517</v>
      </c>
      <c r="L11" s="32"/>
    </row>
    <row r="12" spans="2:12" ht="18">
      <c r="B12" s="57" t="s">
        <v>202</v>
      </c>
      <c r="C12" s="63" t="s">
        <v>118</v>
      </c>
      <c r="D12" s="59" t="s">
        <v>111</v>
      </c>
      <c r="E12" s="60"/>
      <c r="F12" s="61"/>
      <c r="G12" s="61"/>
      <c r="H12" s="62">
        <f>'[2]Тариф на ЦО_Двоставк'!H12</f>
        <v>74854.786222783325</v>
      </c>
      <c r="L12" s="32"/>
    </row>
    <row r="13" spans="2:12" ht="18">
      <c r="B13" s="57" t="s">
        <v>119</v>
      </c>
      <c r="C13" s="58" t="s">
        <v>120</v>
      </c>
      <c r="D13" s="59" t="s">
        <v>111</v>
      </c>
      <c r="E13" s="60"/>
      <c r="F13" s="61"/>
      <c r="G13" s="61"/>
      <c r="H13" s="62">
        <f>[2]Прямі!F146</f>
        <v>38.138202018000001</v>
      </c>
      <c r="I13" s="32"/>
      <c r="L13" s="32"/>
    </row>
    <row r="14" spans="2:12" ht="16.2" customHeight="1">
      <c r="B14" s="57" t="s">
        <v>121</v>
      </c>
      <c r="C14" s="58" t="s">
        <v>122</v>
      </c>
      <c r="D14" s="59" t="s">
        <v>111</v>
      </c>
      <c r="E14" s="60"/>
      <c r="F14" s="61"/>
      <c r="G14" s="61"/>
      <c r="H14" s="62">
        <f>[2]Прямі!F147</f>
        <v>1.247004</v>
      </c>
      <c r="L14" s="32"/>
    </row>
    <row r="15" spans="2:12" ht="18">
      <c r="B15" s="57" t="s">
        <v>114</v>
      </c>
      <c r="C15" s="58" t="s">
        <v>123</v>
      </c>
      <c r="D15" s="59" t="s">
        <v>111</v>
      </c>
      <c r="E15" s="60"/>
      <c r="F15" s="61"/>
      <c r="G15" s="61"/>
      <c r="H15" s="62"/>
      <c r="L15" s="32"/>
    </row>
    <row r="16" spans="2:12" ht="18">
      <c r="B16" s="57" t="s">
        <v>124</v>
      </c>
      <c r="C16" s="58" t="s">
        <v>125</v>
      </c>
      <c r="D16" s="59" t="s">
        <v>111</v>
      </c>
      <c r="E16" s="60" t="e">
        <f>[2]Прямі!#REF!</f>
        <v>#REF!</v>
      </c>
      <c r="F16" s="61" t="e">
        <f>[2]Прямі!#REF!</f>
        <v>#REF!</v>
      </c>
      <c r="G16" s="61" t="e">
        <f>[2]Прямі!#REF!</f>
        <v>#REF!</v>
      </c>
      <c r="H16" s="64">
        <f>[2]Прямі!E145-[2]Прямі!E146-[2]Прямі!E147-[2]Прямі!E148</f>
        <v>45.602873199999998</v>
      </c>
      <c r="L16" s="32"/>
    </row>
    <row r="17" spans="2:12" s="65" customFormat="1" ht="17.399999999999999">
      <c r="B17" s="51" t="s">
        <v>126</v>
      </c>
      <c r="C17" s="52" t="s">
        <v>127</v>
      </c>
      <c r="D17" s="53" t="s">
        <v>111</v>
      </c>
      <c r="E17" s="54">
        <f>[2]Прямі!C70</f>
        <v>2367.4157599999999</v>
      </c>
      <c r="F17" s="55">
        <f>[2]Прямі!D70</f>
        <v>2645.5790699999998</v>
      </c>
      <c r="G17" s="55"/>
      <c r="H17" s="56">
        <f>[2]Прямі!F150</f>
        <v>1470.8013199999998</v>
      </c>
      <c r="L17" s="32"/>
    </row>
    <row r="18" spans="2:12" s="65" customFormat="1" ht="17.399999999999999">
      <c r="B18" s="51" t="s">
        <v>128</v>
      </c>
      <c r="C18" s="52" t="s">
        <v>129</v>
      </c>
      <c r="D18" s="53" t="s">
        <v>111</v>
      </c>
      <c r="E18" s="54">
        <f>[2]Прямі!C72</f>
        <v>3877.3992900000007</v>
      </c>
      <c r="F18" s="55">
        <f>[2]Прямі!D72</f>
        <v>4620.4021899999998</v>
      </c>
      <c r="G18" s="55" t="e">
        <f>[2]Прямі!#REF!</f>
        <v>#REF!</v>
      </c>
      <c r="H18" s="56">
        <f>[2]Прямі!F152</f>
        <v>1281.9667436375501</v>
      </c>
      <c r="L18" s="32"/>
    </row>
    <row r="19" spans="2:12" ht="18">
      <c r="B19" s="57" t="s">
        <v>130</v>
      </c>
      <c r="C19" s="58" t="s">
        <v>131</v>
      </c>
      <c r="D19" s="59" t="s">
        <v>111</v>
      </c>
      <c r="E19" s="60">
        <f>[2]Прямі!C73</f>
        <v>508.17662000000001</v>
      </c>
      <c r="F19" s="61">
        <f>[2]Прямі!D73</f>
        <v>560.41727000000003</v>
      </c>
      <c r="G19" s="61" t="e">
        <f>[2]Прямі!#REF!</f>
        <v>#REF!</v>
      </c>
      <c r="H19" s="64">
        <f>[2]Прямі!F153</f>
        <v>314.16129230675</v>
      </c>
      <c r="L19" s="32"/>
    </row>
    <row r="20" spans="2:12" ht="18">
      <c r="B20" s="57" t="s">
        <v>132</v>
      </c>
      <c r="C20" s="58" t="s">
        <v>133</v>
      </c>
      <c r="D20" s="59" t="s">
        <v>111</v>
      </c>
      <c r="E20" s="60">
        <f>[2]Прямі!C74</f>
        <v>2321.02243</v>
      </c>
      <c r="F20" s="61">
        <f>[2]Прямі!D74</f>
        <v>3119.7326200000002</v>
      </c>
      <c r="G20" s="61" t="e">
        <f>[2]Прямі!#REF!</f>
        <v>#REF!</v>
      </c>
      <c r="H20" s="64">
        <f>[2]Прямі!F154</f>
        <v>8.9773200000000006</v>
      </c>
      <c r="L20" s="32"/>
    </row>
    <row r="21" spans="2:12" ht="18">
      <c r="B21" s="57" t="s">
        <v>134</v>
      </c>
      <c r="C21" s="58" t="s">
        <v>135</v>
      </c>
      <c r="D21" s="59" t="s">
        <v>111</v>
      </c>
      <c r="E21" s="60">
        <f t="shared" ref="E21:G21" si="0">E18-E19-E20</f>
        <v>1048.2002400000006</v>
      </c>
      <c r="F21" s="61">
        <f t="shared" si="0"/>
        <v>940.25229999999965</v>
      </c>
      <c r="G21" s="61" t="e">
        <f t="shared" si="0"/>
        <v>#REF!</v>
      </c>
      <c r="H21" s="64">
        <f>H18-H19-H20</f>
        <v>958.82813133080003</v>
      </c>
      <c r="L21" s="32"/>
    </row>
    <row r="22" spans="2:12" ht="17.399999999999999">
      <c r="B22" s="51" t="s">
        <v>136</v>
      </c>
      <c r="C22" s="52" t="s">
        <v>137</v>
      </c>
      <c r="D22" s="53" t="s">
        <v>111</v>
      </c>
      <c r="E22" s="54">
        <f>E23+E24+E25</f>
        <v>0</v>
      </c>
      <c r="F22" s="55">
        <f>F23+F24+F25</f>
        <v>0</v>
      </c>
      <c r="G22" s="55"/>
      <c r="H22" s="56">
        <f>[2]Загальновиробничі!I8</f>
        <v>136.7196632920936</v>
      </c>
      <c r="I22" s="32"/>
      <c r="L22" s="32"/>
    </row>
    <row r="23" spans="2:12" ht="18">
      <c r="B23" s="57" t="s">
        <v>138</v>
      </c>
      <c r="C23" s="58" t="s">
        <v>139</v>
      </c>
      <c r="D23" s="59" t="s">
        <v>111</v>
      </c>
      <c r="E23" s="60"/>
      <c r="F23" s="61"/>
      <c r="G23" s="61"/>
      <c r="H23" s="64">
        <f>[2]Загальновиробничі!I13</f>
        <v>81.32912936151375</v>
      </c>
      <c r="L23" s="32"/>
    </row>
    <row r="24" spans="2:12" ht="18">
      <c r="B24" s="57" t="s">
        <v>140</v>
      </c>
      <c r="C24" s="58" t="s">
        <v>131</v>
      </c>
      <c r="D24" s="59" t="s">
        <v>111</v>
      </c>
      <c r="E24" s="60"/>
      <c r="F24" s="61"/>
      <c r="G24" s="61"/>
      <c r="H24" s="64">
        <f>[2]Загальновиробничі!I15</f>
        <v>16.089229711924983</v>
      </c>
      <c r="L24" s="32"/>
    </row>
    <row r="25" spans="2:12" ht="18">
      <c r="B25" s="57" t="s">
        <v>141</v>
      </c>
      <c r="C25" s="58" t="s">
        <v>142</v>
      </c>
      <c r="D25" s="59" t="s">
        <v>111</v>
      </c>
      <c r="E25" s="60"/>
      <c r="F25" s="61"/>
      <c r="G25" s="61"/>
      <c r="H25" s="64">
        <f>H22-H23-H24</f>
        <v>39.301304218654863</v>
      </c>
      <c r="L25" s="32"/>
    </row>
    <row r="26" spans="2:12" ht="17.399999999999999">
      <c r="B26" s="51" t="s">
        <v>143</v>
      </c>
      <c r="C26" s="52" t="s">
        <v>144</v>
      </c>
      <c r="D26" s="53" t="s">
        <v>111</v>
      </c>
      <c r="E26" s="54">
        <f>E27+E28+E29</f>
        <v>0</v>
      </c>
      <c r="F26" s="55">
        <f>F27+F28+F29</f>
        <v>0</v>
      </c>
      <c r="G26" s="55"/>
      <c r="H26" s="56">
        <f>[2]Адміністративні!I8</f>
        <v>704.90942991668771</v>
      </c>
      <c r="I26" s="32"/>
      <c r="L26" s="32"/>
    </row>
    <row r="27" spans="2:12" ht="18">
      <c r="B27" s="57" t="s">
        <v>145</v>
      </c>
      <c r="C27" s="58" t="s">
        <v>139</v>
      </c>
      <c r="D27" s="59" t="s">
        <v>111</v>
      </c>
      <c r="E27" s="60"/>
      <c r="F27" s="61"/>
      <c r="G27" s="61"/>
      <c r="H27" s="64">
        <f>[2]Адміністративні!I20</f>
        <v>490.80226865384975</v>
      </c>
      <c r="L27" s="32"/>
    </row>
    <row r="28" spans="2:12" ht="18">
      <c r="B28" s="57" t="s">
        <v>146</v>
      </c>
      <c r="C28" s="58" t="s">
        <v>131</v>
      </c>
      <c r="D28" s="59" t="s">
        <v>111</v>
      </c>
      <c r="E28" s="60"/>
      <c r="F28" s="61"/>
      <c r="G28" s="61"/>
      <c r="H28" s="64">
        <f>[2]Адміністративні!I23</f>
        <v>107.97649910384695</v>
      </c>
      <c r="L28" s="32"/>
    </row>
    <row r="29" spans="2:12" ht="18">
      <c r="B29" s="57" t="s">
        <v>147</v>
      </c>
      <c r="C29" s="58" t="s">
        <v>142</v>
      </c>
      <c r="D29" s="59" t="s">
        <v>111</v>
      </c>
      <c r="E29" s="60"/>
      <c r="F29" s="61"/>
      <c r="G29" s="61"/>
      <c r="H29" s="64">
        <f>H26-H27-H28</f>
        <v>106.13066215899102</v>
      </c>
      <c r="L29" s="32"/>
    </row>
    <row r="30" spans="2:12" ht="17.399999999999999">
      <c r="B30" s="51" t="s">
        <v>148</v>
      </c>
      <c r="C30" s="52" t="s">
        <v>149</v>
      </c>
      <c r="D30" s="53" t="s">
        <v>111</v>
      </c>
      <c r="E30" s="54">
        <v>0</v>
      </c>
      <c r="F30" s="55">
        <v>0</v>
      </c>
      <c r="G30" s="55">
        <v>0</v>
      </c>
      <c r="H30" s="56">
        <v>0</v>
      </c>
      <c r="L30" s="32"/>
    </row>
    <row r="31" spans="2:12" ht="18">
      <c r="B31" s="57" t="s">
        <v>150</v>
      </c>
      <c r="C31" s="58" t="s">
        <v>139</v>
      </c>
      <c r="D31" s="59" t="s">
        <v>111</v>
      </c>
      <c r="E31" s="60">
        <v>0</v>
      </c>
      <c r="F31" s="61">
        <v>0</v>
      </c>
      <c r="G31" s="61">
        <v>0</v>
      </c>
      <c r="H31" s="64">
        <v>0</v>
      </c>
      <c r="L31" s="32"/>
    </row>
    <row r="32" spans="2:12" ht="18">
      <c r="B32" s="57" t="s">
        <v>151</v>
      </c>
      <c r="C32" s="58" t="s">
        <v>131</v>
      </c>
      <c r="D32" s="59" t="s">
        <v>111</v>
      </c>
      <c r="E32" s="60">
        <v>0</v>
      </c>
      <c r="F32" s="61">
        <v>0</v>
      </c>
      <c r="G32" s="61">
        <v>0</v>
      </c>
      <c r="H32" s="64">
        <v>0</v>
      </c>
      <c r="L32" s="32"/>
    </row>
    <row r="33" spans="2:13" ht="18" customHeight="1">
      <c r="B33" s="57" t="s">
        <v>152</v>
      </c>
      <c r="C33" s="58" t="s">
        <v>153</v>
      </c>
      <c r="D33" s="59" t="s">
        <v>111</v>
      </c>
      <c r="E33" s="60">
        <v>0</v>
      </c>
      <c r="F33" s="61">
        <v>0</v>
      </c>
      <c r="G33" s="61">
        <v>0</v>
      </c>
      <c r="H33" s="64">
        <v>0</v>
      </c>
      <c r="L33" s="32"/>
    </row>
    <row r="34" spans="2:13" ht="18" customHeight="1">
      <c r="B34" s="57" t="s">
        <v>154</v>
      </c>
      <c r="C34" s="58" t="s">
        <v>155</v>
      </c>
      <c r="D34" s="59" t="s">
        <v>111</v>
      </c>
      <c r="E34" s="60"/>
      <c r="F34" s="61"/>
      <c r="G34" s="61"/>
      <c r="H34" s="64">
        <v>0</v>
      </c>
      <c r="L34" s="32"/>
    </row>
    <row r="35" spans="2:13" ht="18" customHeight="1">
      <c r="B35" s="57" t="s">
        <v>156</v>
      </c>
      <c r="C35" s="58" t="s">
        <v>157</v>
      </c>
      <c r="D35" s="59" t="s">
        <v>111</v>
      </c>
      <c r="E35" s="60"/>
      <c r="F35" s="61"/>
      <c r="G35" s="61">
        <v>0</v>
      </c>
      <c r="H35" s="64">
        <f>[2]Прямі!H218</f>
        <v>19.777347642001121</v>
      </c>
      <c r="L35" s="32"/>
    </row>
    <row r="36" spans="2:13" ht="18" customHeight="1">
      <c r="B36" s="51" t="s">
        <v>158</v>
      </c>
      <c r="C36" s="52" t="s">
        <v>159</v>
      </c>
      <c r="D36" s="53" t="s">
        <v>111</v>
      </c>
      <c r="E36" s="54" t="e">
        <f>E8+E26+E30+E34+E35</f>
        <v>#REF!</v>
      </c>
      <c r="F36" s="55" t="e">
        <f>F8+F26+F30+F34+F35</f>
        <v>#REF!</v>
      </c>
      <c r="G36" s="55"/>
      <c r="H36" s="56">
        <f>H8+H26+H30+H34+H35</f>
        <v>99391.105457529178</v>
      </c>
      <c r="I36" s="32">
        <f>[1]Прямі!H218+[1]Прямі!F144+[1]Загальновиробничі!I8+[1]Адміністративні!I8+I10</f>
        <v>114146.91815670097</v>
      </c>
      <c r="J36" s="32"/>
      <c r="K36" s="32"/>
      <c r="L36" s="32"/>
    </row>
    <row r="37" spans="2:13" ht="18" customHeight="1">
      <c r="B37" s="57" t="s">
        <v>160</v>
      </c>
      <c r="C37" s="58" t="s">
        <v>161</v>
      </c>
      <c r="D37" s="59" t="s">
        <v>111</v>
      </c>
      <c r="E37" s="60"/>
      <c r="F37" s="61"/>
      <c r="G37" s="61">
        <f>SUM(G38:G42)</f>
        <v>0</v>
      </c>
      <c r="H37" s="64">
        <f>H42/0.82</f>
        <v>282.7102316376467</v>
      </c>
      <c r="I37" s="66"/>
      <c r="L37" s="32"/>
    </row>
    <row r="38" spans="2:13" ht="18">
      <c r="B38" s="57" t="s">
        <v>162</v>
      </c>
      <c r="C38" s="58" t="s">
        <v>163</v>
      </c>
      <c r="D38" s="59" t="s">
        <v>164</v>
      </c>
      <c r="E38" s="60" t="s">
        <v>165</v>
      </c>
      <c r="F38" s="61" t="s">
        <v>165</v>
      </c>
      <c r="G38" s="61">
        <v>0</v>
      </c>
      <c r="H38" s="64">
        <f>H37*0.18</f>
        <v>50.887841694776405</v>
      </c>
      <c r="K38" s="32"/>
      <c r="L38" s="32"/>
    </row>
    <row r="39" spans="2:13" ht="18">
      <c r="B39" s="57" t="s">
        <v>166</v>
      </c>
      <c r="C39" s="58" t="s">
        <v>167</v>
      </c>
      <c r="D39" s="59" t="s">
        <v>111</v>
      </c>
      <c r="E39" s="60" t="s">
        <v>165</v>
      </c>
      <c r="F39" s="61" t="s">
        <v>165</v>
      </c>
      <c r="G39" s="61">
        <v>0</v>
      </c>
      <c r="H39" s="64">
        <v>0</v>
      </c>
      <c r="L39" s="32"/>
    </row>
    <row r="40" spans="2:13" ht="18">
      <c r="B40" s="57" t="s">
        <v>168</v>
      </c>
      <c r="C40" s="58" t="s">
        <v>169</v>
      </c>
      <c r="D40" s="59" t="s">
        <v>111</v>
      </c>
      <c r="E40" s="60" t="s">
        <v>165</v>
      </c>
      <c r="F40" s="61" t="s">
        <v>165</v>
      </c>
      <c r="G40" s="61">
        <v>0</v>
      </c>
      <c r="H40" s="64">
        <v>0</v>
      </c>
      <c r="L40" s="32"/>
    </row>
    <row r="41" spans="2:13" ht="18">
      <c r="B41" s="59" t="s">
        <v>170</v>
      </c>
      <c r="C41" s="67" t="s">
        <v>171</v>
      </c>
      <c r="D41" s="59" t="s">
        <v>111</v>
      </c>
      <c r="E41" s="68" t="s">
        <v>165</v>
      </c>
      <c r="F41" s="68" t="s">
        <v>165</v>
      </c>
      <c r="G41" s="68">
        <v>0</v>
      </c>
      <c r="H41" s="68">
        <f>H37-H38</f>
        <v>231.8223899428703</v>
      </c>
      <c r="L41" s="32"/>
    </row>
    <row r="42" spans="2:13" ht="18">
      <c r="B42" s="59" t="s">
        <v>172</v>
      </c>
      <c r="C42" s="67" t="s">
        <v>173</v>
      </c>
      <c r="D42" s="59" t="s">
        <v>111</v>
      </c>
      <c r="E42" s="68" t="s">
        <v>165</v>
      </c>
      <c r="F42" s="68" t="s">
        <v>165</v>
      </c>
      <c r="G42" s="68">
        <v>0</v>
      </c>
      <c r="H42" s="68">
        <f>[2]Прямі!H219</f>
        <v>231.8223899428703</v>
      </c>
      <c r="L42" s="32"/>
    </row>
    <row r="43" spans="2:13" ht="19.2" customHeight="1">
      <c r="B43" s="53" t="s">
        <v>174</v>
      </c>
      <c r="C43" s="79" t="s">
        <v>175</v>
      </c>
      <c r="D43" s="53" t="s">
        <v>111</v>
      </c>
      <c r="E43" s="80" t="e">
        <f>E36+E37</f>
        <v>#REF!</v>
      </c>
      <c r="F43" s="80" t="e">
        <f>F36+F37</f>
        <v>#REF!</v>
      </c>
      <c r="G43" s="80"/>
      <c r="H43" s="80">
        <f>H36+H37</f>
        <v>99673.815689166819</v>
      </c>
      <c r="L43" s="32"/>
    </row>
    <row r="44" spans="2:13" ht="18.600000000000001" customHeight="1">
      <c r="B44" s="57" t="s">
        <v>176</v>
      </c>
      <c r="C44" s="69" t="s">
        <v>118</v>
      </c>
      <c r="D44" s="59" t="s">
        <v>111</v>
      </c>
      <c r="E44" s="70"/>
      <c r="F44" s="70"/>
      <c r="G44" s="70"/>
      <c r="H44" s="70">
        <f>'[2]Тариф на ЦО_Двоставк'!H44</f>
        <v>74854.786222783325</v>
      </c>
      <c r="I44" s="32">
        <f>[1]Прямі!F11+[1]Прямі!F12</f>
        <v>85414.241164799896</v>
      </c>
      <c r="J44" s="14">
        <f>I44*1.05</f>
        <v>89684.953223039891</v>
      </c>
      <c r="L44" s="32"/>
    </row>
    <row r="45" spans="2:13" ht="18.600000000000001" customHeight="1">
      <c r="B45" s="57" t="s">
        <v>177</v>
      </c>
      <c r="C45" s="67" t="s">
        <v>117</v>
      </c>
      <c r="D45" s="59" t="s">
        <v>111</v>
      </c>
      <c r="E45" s="68"/>
      <c r="F45" s="68"/>
      <c r="G45" s="68"/>
      <c r="H45" s="68">
        <f>H43-H44</f>
        <v>24819.029466383494</v>
      </c>
      <c r="L45" s="32"/>
    </row>
    <row r="46" spans="2:13" ht="36">
      <c r="B46" s="47">
        <v>9</v>
      </c>
      <c r="C46" s="71" t="s">
        <v>178</v>
      </c>
      <c r="D46" s="47" t="s">
        <v>31</v>
      </c>
      <c r="E46" s="72"/>
      <c r="F46" s="73"/>
      <c r="G46" s="73"/>
      <c r="H46" s="74">
        <f>'[2]Тариф на ЦО_Двоставк'!H46</f>
        <v>77529.56</v>
      </c>
      <c r="I46" s="75"/>
      <c r="K46" s="75"/>
      <c r="L46" s="32"/>
      <c r="M46" s="76"/>
    </row>
    <row r="47" spans="2:13" ht="19.2" customHeight="1">
      <c r="B47" s="77">
        <v>10</v>
      </c>
      <c r="C47" s="69" t="s">
        <v>179</v>
      </c>
      <c r="D47" s="59" t="s">
        <v>33</v>
      </c>
      <c r="E47" s="70"/>
      <c r="F47" s="70"/>
      <c r="G47" s="70"/>
      <c r="H47" s="78">
        <f>'[2]Тариф на ЦО_Двоставк'!H47</f>
        <v>49.418999999999997</v>
      </c>
      <c r="L47" s="32"/>
    </row>
    <row r="48" spans="2:13" ht="19.95" customHeight="1">
      <c r="B48" s="77">
        <v>11</v>
      </c>
      <c r="C48" s="67" t="s">
        <v>180</v>
      </c>
      <c r="D48" s="59" t="s">
        <v>181</v>
      </c>
      <c r="E48" s="68"/>
      <c r="F48" s="68"/>
      <c r="G48" s="68"/>
      <c r="H48" s="68">
        <f>'[2]Тариф на ЦО_Двоставк'!H48</f>
        <v>818887</v>
      </c>
      <c r="L48" s="32"/>
    </row>
    <row r="49" spans="2:13" ht="21.6" customHeight="1">
      <c r="B49" s="59">
        <v>12</v>
      </c>
      <c r="C49" s="79" t="s">
        <v>182</v>
      </c>
      <c r="D49" s="53"/>
      <c r="E49" s="80" t="e">
        <f>E43/E46*1000</f>
        <v>#REF!</v>
      </c>
      <c r="F49" s="80" t="e">
        <f>F43/F46*1000</f>
        <v>#REF!</v>
      </c>
      <c r="G49" s="80"/>
      <c r="H49" s="81"/>
      <c r="J49" s="32"/>
      <c r="L49" s="32"/>
    </row>
    <row r="50" spans="2:13" s="65" customFormat="1" ht="17.399999999999999">
      <c r="B50" s="51" t="s">
        <v>183</v>
      </c>
      <c r="C50" s="79" t="s">
        <v>118</v>
      </c>
      <c r="D50" s="53" t="s">
        <v>184</v>
      </c>
      <c r="E50" s="82"/>
      <c r="F50" s="82"/>
      <c r="G50" s="82"/>
      <c r="H50" s="83">
        <f>H44/H46*1000</f>
        <v>965.49994895860789</v>
      </c>
      <c r="J50" s="84"/>
      <c r="K50" s="84">
        <f>H36/H46*1.2*1000</f>
        <v>1538.3722872802969</v>
      </c>
      <c r="L50" s="32"/>
    </row>
    <row r="51" spans="2:13" ht="18">
      <c r="B51" s="57" t="s">
        <v>185</v>
      </c>
      <c r="C51" s="67" t="s">
        <v>186</v>
      </c>
      <c r="D51" s="59" t="s">
        <v>187</v>
      </c>
      <c r="E51" s="82"/>
      <c r="F51" s="82"/>
      <c r="G51" s="82"/>
      <c r="H51" s="85">
        <f>H45*1000/H47</f>
        <v>502216.34323607309</v>
      </c>
      <c r="J51" s="32"/>
      <c r="L51" s="32"/>
    </row>
    <row r="52" spans="2:13" ht="18">
      <c r="B52" s="57" t="s">
        <v>188</v>
      </c>
      <c r="C52" s="67" t="s">
        <v>189</v>
      </c>
      <c r="D52" s="59" t="s">
        <v>187</v>
      </c>
      <c r="E52" s="82"/>
      <c r="F52" s="82"/>
      <c r="G52" s="82"/>
      <c r="H52" s="85">
        <f>H45*1000/H47/12</f>
        <v>41851.361936339425</v>
      </c>
      <c r="J52" s="32"/>
      <c r="L52" s="32"/>
    </row>
    <row r="53" spans="2:13" s="65" customFormat="1" ht="33" hidden="1" customHeight="1">
      <c r="B53" s="51" t="s">
        <v>190</v>
      </c>
      <c r="C53" s="79" t="s">
        <v>203</v>
      </c>
      <c r="D53" s="86" t="s">
        <v>191</v>
      </c>
      <c r="E53" s="87"/>
      <c r="F53" s="88"/>
      <c r="G53" s="88"/>
      <c r="H53" s="89">
        <f>H45*1000/H48/12</f>
        <v>2.5256872505387897</v>
      </c>
      <c r="K53" s="84"/>
      <c r="L53" s="32"/>
    </row>
    <row r="54" spans="2:13" ht="33" hidden="1" customHeight="1">
      <c r="B54" s="90">
        <v>13</v>
      </c>
      <c r="C54" s="91" t="s">
        <v>204</v>
      </c>
      <c r="D54" s="92"/>
      <c r="E54" s="93" t="e">
        <f>E48/E51*1000</f>
        <v>#DIV/0!</v>
      </c>
      <c r="F54" s="93" t="e">
        <f>F48/F51*1000</f>
        <v>#DIV/0!</v>
      </c>
      <c r="G54" s="93"/>
      <c r="H54" s="93"/>
      <c r="I54" s="75"/>
      <c r="K54" s="75"/>
      <c r="L54" s="32"/>
      <c r="M54" s="94"/>
    </row>
    <row r="55" spans="2:13" ht="17.399999999999999" hidden="1">
      <c r="B55" s="95" t="s">
        <v>192</v>
      </c>
      <c r="C55" s="91" t="s">
        <v>118</v>
      </c>
      <c r="D55" s="92" t="s">
        <v>184</v>
      </c>
      <c r="E55" s="96"/>
      <c r="F55" s="96"/>
      <c r="G55" s="96"/>
      <c r="H55" s="97">
        <f>H50*1.2</f>
        <v>1158.5999387503293</v>
      </c>
      <c r="I55" s="75"/>
      <c r="K55" s="75"/>
      <c r="L55" s="32"/>
      <c r="M55" s="76"/>
    </row>
    <row r="56" spans="2:13" ht="18" hidden="1">
      <c r="B56" s="98" t="s">
        <v>193</v>
      </c>
      <c r="C56" s="99" t="s">
        <v>186</v>
      </c>
      <c r="D56" s="90" t="s">
        <v>187</v>
      </c>
      <c r="E56" s="96"/>
      <c r="F56" s="96"/>
      <c r="G56" s="96"/>
      <c r="H56" s="100">
        <f t="shared" ref="H56:H57" si="1">H51*1.2</f>
        <v>602659.61188328767</v>
      </c>
      <c r="I56" s="75"/>
      <c r="K56" s="75"/>
      <c r="L56" s="32"/>
      <c r="M56" s="76"/>
    </row>
    <row r="57" spans="2:13" ht="33" hidden="1" customHeight="1">
      <c r="B57" s="98" t="s">
        <v>194</v>
      </c>
      <c r="C57" s="99" t="s">
        <v>189</v>
      </c>
      <c r="D57" s="90" t="s">
        <v>187</v>
      </c>
      <c r="E57" s="96"/>
      <c r="F57" s="96"/>
      <c r="G57" s="96"/>
      <c r="H57" s="100">
        <f t="shared" si="1"/>
        <v>50221.634323607308</v>
      </c>
      <c r="L57" s="32"/>
      <c r="M57" s="76"/>
    </row>
    <row r="58" spans="2:13" ht="33" hidden="1" customHeight="1" thickBot="1">
      <c r="B58" s="101" t="s">
        <v>195</v>
      </c>
      <c r="C58" s="102" t="s">
        <v>203</v>
      </c>
      <c r="D58" s="103" t="s">
        <v>191</v>
      </c>
      <c r="E58" s="104"/>
      <c r="F58" s="105"/>
      <c r="G58" s="105"/>
      <c r="H58" s="106">
        <f>H53*1.2</f>
        <v>3.0308247006465474</v>
      </c>
      <c r="L58" s="32"/>
      <c r="M58" s="76"/>
    </row>
    <row r="59" spans="2:13" ht="33" hidden="1" customHeight="1">
      <c r="B59" s="159"/>
      <c r="C59" s="159"/>
      <c r="D59" s="159"/>
      <c r="E59" s="159"/>
      <c r="F59" s="159"/>
      <c r="G59" s="159"/>
      <c r="H59" s="159"/>
    </row>
    <row r="60" spans="2:13" ht="33" hidden="1" customHeight="1"/>
    <row r="61" spans="2:13" hidden="1"/>
    <row r="62" spans="2:13" ht="11.4" customHeight="1"/>
    <row r="63" spans="2:13" ht="18.75" customHeight="1">
      <c r="B63" s="151" t="s">
        <v>196</v>
      </c>
      <c r="C63" s="151"/>
      <c r="D63" s="40" t="s">
        <v>17</v>
      </c>
      <c r="E63" s="12"/>
      <c r="F63" s="12"/>
      <c r="G63" s="12" t="s">
        <v>17</v>
      </c>
      <c r="H63" s="12"/>
    </row>
    <row r="64" spans="2:13" ht="18.75" customHeight="1">
      <c r="B64" s="107"/>
      <c r="D64" s="42"/>
      <c r="E64" s="41"/>
      <c r="F64" s="132"/>
      <c r="G64" s="132"/>
      <c r="H64" s="132"/>
    </row>
    <row r="65" spans="3:8" ht="18">
      <c r="C65" s="43"/>
      <c r="D65" s="44"/>
      <c r="E65" s="19"/>
      <c r="F65" s="19"/>
      <c r="G65" s="19"/>
      <c r="H65" s="112"/>
    </row>
  </sheetData>
  <mergeCells count="8">
    <mergeCell ref="B63:C63"/>
    <mergeCell ref="F64:H64"/>
    <mergeCell ref="D1:H1"/>
    <mergeCell ref="B3:H3"/>
    <mergeCell ref="B6:B7"/>
    <mergeCell ref="C6:C7"/>
    <mergeCell ref="D6:D7"/>
    <mergeCell ref="B59:H59"/>
  </mergeCells>
  <pageMargins left="0.70866141732283472" right="0.27559055118110237" top="0.27559055118110237" bottom="0.35433070866141736" header="0.31496062992125984" footer="0.31496062992125984"/>
  <pageSetup paperSize="9" scale="7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№1</vt:lpstr>
      <vt:lpstr>№2</vt:lpstr>
      <vt:lpstr>№3</vt:lpstr>
      <vt:lpstr>№1!Область_печати</vt:lpstr>
      <vt:lpstr>№2!Область_печати</vt:lpstr>
      <vt:lpstr>№3!Область_печати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Lavrova-NB</cp:lastModifiedBy>
  <cp:lastPrinted>2018-01-31T14:18:46Z</cp:lastPrinted>
  <dcterms:created xsi:type="dcterms:W3CDTF">2017-12-28T07:28:39Z</dcterms:created>
  <dcterms:modified xsi:type="dcterms:W3CDTF">2018-09-20T11:56:49Z</dcterms:modified>
</cp:coreProperties>
</file>