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570" windowHeight="11580" firstSheet="3" activeTab="3"/>
  </bookViews>
  <sheets>
    <sheet name="початковий" sheetId="5" r:id="rId1"/>
    <sheet name="зміни лютий" sheetId="4" r:id="rId2"/>
    <sheet name="зі змінами 16.02.18" sheetId="7" r:id="rId3"/>
    <sheet name="2019!" sheetId="10" r:id="rId4"/>
  </sheets>
  <externalReferences>
    <externalReference r:id="rId5"/>
  </externalReferences>
  <definedNames>
    <definedName name="_xlnm.Print_Titles" localSheetId="3">'2019!'!$3:$8</definedName>
    <definedName name="_xlnm.Print_Titles" localSheetId="1">'зміни лютий'!$6:$10</definedName>
    <definedName name="_xlnm.Print_Area" localSheetId="3">'2019!'!$A$1:$T$173</definedName>
    <definedName name="_xlnm.Print_Area" localSheetId="1">'зміни лютий'!$A$1:$O$172</definedName>
  </definedNames>
  <calcPr calcId="125725"/>
</workbook>
</file>

<file path=xl/calcChain.xml><?xml version="1.0" encoding="utf-8"?>
<calcChain xmlns="http://schemas.openxmlformats.org/spreadsheetml/2006/main">
  <c r="I61" i="10"/>
  <c r="Q61"/>
  <c r="R61"/>
  <c r="I56"/>
  <c r="Q56"/>
  <c r="R56"/>
  <c r="I50"/>
  <c r="Q50"/>
  <c r="R50"/>
  <c r="I22"/>
  <c r="Q22"/>
  <c r="E61"/>
  <c r="E56"/>
  <c r="E50"/>
  <c r="E22" l="1"/>
  <c r="R22"/>
  <c r="G53"/>
  <c r="G46"/>
  <c r="G45"/>
  <c r="G18"/>
  <c r="G105"/>
  <c r="G104"/>
  <c r="G103"/>
  <c r="G102"/>
  <c r="G12"/>
  <c r="H137"/>
  <c r="G137"/>
  <c r="H162"/>
  <c r="G162"/>
  <c r="G142"/>
  <c r="E149" l="1"/>
  <c r="F142"/>
  <c r="F162"/>
  <c r="E168"/>
  <c r="R168"/>
  <c r="F12"/>
  <c r="F132"/>
  <c r="R12"/>
  <c r="F68"/>
  <c r="E94"/>
  <c r="F41"/>
  <c r="E41" s="1"/>
  <c r="T12"/>
  <c r="S13"/>
  <c r="S14"/>
  <c r="T14"/>
  <c r="S15"/>
  <c r="T18"/>
  <c r="S19"/>
  <c r="T19"/>
  <c r="T23"/>
  <c r="S24"/>
  <c r="T24"/>
  <c r="S25"/>
  <c r="T25"/>
  <c r="S26"/>
  <c r="T26"/>
  <c r="S27"/>
  <c r="T27"/>
  <c r="S28"/>
  <c r="T28"/>
  <c r="S29"/>
  <c r="T29"/>
  <c r="S31"/>
  <c r="T31"/>
  <c r="S32"/>
  <c r="T32"/>
  <c r="S33"/>
  <c r="T33"/>
  <c r="S34"/>
  <c r="T34"/>
  <c r="S35"/>
  <c r="T35"/>
  <c r="S36"/>
  <c r="T36"/>
  <c r="S37"/>
  <c r="T37"/>
  <c r="S38"/>
  <c r="T38"/>
  <c r="S39"/>
  <c r="T39"/>
  <c r="S40"/>
  <c r="T40"/>
  <c r="S44"/>
  <c r="T44"/>
  <c r="T45"/>
  <c r="T46"/>
  <c r="S48"/>
  <c r="T48"/>
  <c r="S49"/>
  <c r="T49"/>
  <c r="S51"/>
  <c r="T51"/>
  <c r="S52"/>
  <c r="T52"/>
  <c r="S53"/>
  <c r="T53"/>
  <c r="S55"/>
  <c r="T55"/>
  <c r="T57"/>
  <c r="S58"/>
  <c r="T58"/>
  <c r="S59"/>
  <c r="T59"/>
  <c r="S60"/>
  <c r="T60"/>
  <c r="S62"/>
  <c r="T62"/>
  <c r="S63"/>
  <c r="T63"/>
  <c r="S64"/>
  <c r="T64"/>
  <c r="S65"/>
  <c r="T65"/>
  <c r="S66"/>
  <c r="T66"/>
  <c r="S69"/>
  <c r="T69"/>
  <c r="S70"/>
  <c r="T70"/>
  <c r="S71"/>
  <c r="T71"/>
  <c r="S72"/>
  <c r="T72"/>
  <c r="S73"/>
  <c r="T73"/>
  <c r="S74"/>
  <c r="T74"/>
  <c r="S75"/>
  <c r="T75"/>
  <c r="S76"/>
  <c r="T76"/>
  <c r="S77"/>
  <c r="T77"/>
  <c r="S78"/>
  <c r="T78"/>
  <c r="S79"/>
  <c r="T79"/>
  <c r="S80"/>
  <c r="T80"/>
  <c r="S81"/>
  <c r="T81"/>
  <c r="S82"/>
  <c r="T82"/>
  <c r="S83"/>
  <c r="T83"/>
  <c r="S84"/>
  <c r="T84"/>
  <c r="S85"/>
  <c r="T85"/>
  <c r="S86"/>
  <c r="T86"/>
  <c r="S87"/>
  <c r="T87"/>
  <c r="S88"/>
  <c r="T88"/>
  <c r="S89"/>
  <c r="T89"/>
  <c r="S90"/>
  <c r="T90"/>
  <c r="S91"/>
  <c r="T91"/>
  <c r="S92"/>
  <c r="T92"/>
  <c r="S93"/>
  <c r="T93"/>
  <c r="S95"/>
  <c r="T95"/>
  <c r="S96"/>
  <c r="T96"/>
  <c r="S97"/>
  <c r="T97"/>
  <c r="S98"/>
  <c r="T98"/>
  <c r="S101"/>
  <c r="T101"/>
  <c r="T102"/>
  <c r="T103"/>
  <c r="T104"/>
  <c r="T105"/>
  <c r="S106"/>
  <c r="T106"/>
  <c r="S107"/>
  <c r="T107"/>
  <c r="S108"/>
  <c r="T108"/>
  <c r="S109"/>
  <c r="T109"/>
  <c r="S112"/>
  <c r="T112"/>
  <c r="S113"/>
  <c r="T113"/>
  <c r="S114"/>
  <c r="T114"/>
  <c r="S115"/>
  <c r="T115"/>
  <c r="S116"/>
  <c r="T116"/>
  <c r="S117"/>
  <c r="T117"/>
  <c r="S118"/>
  <c r="T118"/>
  <c r="S119"/>
  <c r="T119"/>
  <c r="S122"/>
  <c r="T122"/>
  <c r="S123"/>
  <c r="T123"/>
  <c r="S124"/>
  <c r="T124"/>
  <c r="S126"/>
  <c r="T126"/>
  <c r="S127"/>
  <c r="T127"/>
  <c r="S128"/>
  <c r="T128"/>
  <c r="S129"/>
  <c r="T129"/>
  <c r="S130"/>
  <c r="T130"/>
  <c r="S131"/>
  <c r="T131"/>
  <c r="S133"/>
  <c r="T133"/>
  <c r="S134"/>
  <c r="T134"/>
  <c r="S135"/>
  <c r="T135"/>
  <c r="S136"/>
  <c r="T136"/>
  <c r="S137"/>
  <c r="T137"/>
  <c r="S138"/>
  <c r="T138"/>
  <c r="S139"/>
  <c r="T139"/>
  <c r="S140"/>
  <c r="T140"/>
  <c r="S143"/>
  <c r="T143"/>
  <c r="S144"/>
  <c r="T144"/>
  <c r="S146"/>
  <c r="T146"/>
  <c r="S147"/>
  <c r="T147"/>
  <c r="S148"/>
  <c r="T148"/>
  <c r="S150"/>
  <c r="T150"/>
  <c r="S153"/>
  <c r="T153"/>
  <c r="S154"/>
  <c r="T154"/>
  <c r="S155"/>
  <c r="T155"/>
  <c r="S156"/>
  <c r="T156"/>
  <c r="S157"/>
  <c r="T157"/>
  <c r="S158"/>
  <c r="T158"/>
  <c r="S160"/>
  <c r="T160"/>
  <c r="S163"/>
  <c r="T163"/>
  <c r="S164"/>
  <c r="T164"/>
  <c r="S165"/>
  <c r="T165"/>
  <c r="S166"/>
  <c r="T166"/>
  <c r="S167"/>
  <c r="T167"/>
  <c r="R13"/>
  <c r="R14"/>
  <c r="R15"/>
  <c r="R16"/>
  <c r="R17"/>
  <c r="R18"/>
  <c r="R19"/>
  <c r="R20"/>
  <c r="R21"/>
  <c r="R23"/>
  <c r="R24"/>
  <c r="R25"/>
  <c r="R26"/>
  <c r="R27"/>
  <c r="R28"/>
  <c r="R29"/>
  <c r="R31"/>
  <c r="R32"/>
  <c r="R33"/>
  <c r="R34"/>
  <c r="R35"/>
  <c r="R36"/>
  <c r="R37"/>
  <c r="R38"/>
  <c r="R39"/>
  <c r="R40"/>
  <c r="R44"/>
  <c r="R45"/>
  <c r="R46"/>
  <c r="R48"/>
  <c r="R49"/>
  <c r="R51"/>
  <c r="R52"/>
  <c r="R53"/>
  <c r="R55"/>
  <c r="R57"/>
  <c r="R58"/>
  <c r="R59"/>
  <c r="R60"/>
  <c r="R62"/>
  <c r="R63"/>
  <c r="R64"/>
  <c r="R65"/>
  <c r="R66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5"/>
  <c r="R96"/>
  <c r="R97"/>
  <c r="R101"/>
  <c r="R102"/>
  <c r="R103"/>
  <c r="R104"/>
  <c r="R105"/>
  <c r="R106"/>
  <c r="R107"/>
  <c r="R108"/>
  <c r="R109"/>
  <c r="R112"/>
  <c r="R113"/>
  <c r="R114"/>
  <c r="R115"/>
  <c r="R116"/>
  <c r="R117"/>
  <c r="R118"/>
  <c r="R119"/>
  <c r="R122"/>
  <c r="R123"/>
  <c r="R124"/>
  <c r="R125"/>
  <c r="R126"/>
  <c r="R127"/>
  <c r="R128"/>
  <c r="R129"/>
  <c r="R130"/>
  <c r="R131"/>
  <c r="R133"/>
  <c r="R134"/>
  <c r="R135"/>
  <c r="R136"/>
  <c r="R138"/>
  <c r="R139"/>
  <c r="R140"/>
  <c r="R143"/>
  <c r="R144"/>
  <c r="R145"/>
  <c r="R146"/>
  <c r="R147"/>
  <c r="R148"/>
  <c r="R150"/>
  <c r="R153"/>
  <c r="R154"/>
  <c r="R155"/>
  <c r="R156"/>
  <c r="R157"/>
  <c r="R158"/>
  <c r="R159"/>
  <c r="R160"/>
  <c r="R163"/>
  <c r="R164"/>
  <c r="R165"/>
  <c r="R166"/>
  <c r="R167"/>
  <c r="K57" l="1"/>
  <c r="S57" s="1"/>
  <c r="K46"/>
  <c r="S46" s="1"/>
  <c r="K45"/>
  <c r="S45" s="1"/>
  <c r="K23"/>
  <c r="S23" s="1"/>
  <c r="K18"/>
  <c r="S18" s="1"/>
  <c r="K12"/>
  <c r="S12" s="1"/>
  <c r="K105"/>
  <c r="K104"/>
  <c r="S104" s="1"/>
  <c r="K103"/>
  <c r="S103" s="1"/>
  <c r="K102"/>
  <c r="S102" s="1"/>
  <c r="L159"/>
  <c r="K159"/>
  <c r="S159" s="1"/>
  <c r="L145"/>
  <c r="K145"/>
  <c r="S145" s="1"/>
  <c r="L132"/>
  <c r="T132" s="1"/>
  <c r="K132"/>
  <c r="S132" s="1"/>
  <c r="L125"/>
  <c r="T125" s="1"/>
  <c r="K125"/>
  <c r="S125" s="1"/>
  <c r="J98"/>
  <c r="O167"/>
  <c r="P167"/>
  <c r="N166"/>
  <c r="N164"/>
  <c r="N163"/>
  <c r="N153"/>
  <c r="O145"/>
  <c r="O146"/>
  <c r="P146"/>
  <c r="O147"/>
  <c r="P147"/>
  <c r="O150"/>
  <c r="P150"/>
  <c r="N143"/>
  <c r="O137"/>
  <c r="P137"/>
  <c r="P125"/>
  <c r="O126"/>
  <c r="P126"/>
  <c r="O129"/>
  <c r="P129"/>
  <c r="O132"/>
  <c r="P132"/>
  <c r="O133"/>
  <c r="P133"/>
  <c r="N124"/>
  <c r="N133"/>
  <c r="N135"/>
  <c r="N122"/>
  <c r="N113"/>
  <c r="N114"/>
  <c r="N117"/>
  <c r="N118"/>
  <c r="N119"/>
  <c r="N112"/>
  <c r="O112"/>
  <c r="P112"/>
  <c r="O103"/>
  <c r="P103"/>
  <c r="O104"/>
  <c r="P104"/>
  <c r="P105"/>
  <c r="N102"/>
  <c r="N103"/>
  <c r="N104"/>
  <c r="N105"/>
  <c r="N106"/>
  <c r="N107"/>
  <c r="N101"/>
  <c r="N70"/>
  <c r="N71"/>
  <c r="N72"/>
  <c r="N73"/>
  <c r="N74"/>
  <c r="N75"/>
  <c r="N76"/>
  <c r="N77"/>
  <c r="N78"/>
  <c r="N79"/>
  <c r="N80"/>
  <c r="N81"/>
  <c r="N82"/>
  <c r="N83"/>
  <c r="N84"/>
  <c r="N86"/>
  <c r="N87"/>
  <c r="N88"/>
  <c r="N91"/>
  <c r="N92"/>
  <c r="N93"/>
  <c r="N97"/>
  <c r="N69"/>
  <c r="O69"/>
  <c r="P69"/>
  <c r="N58"/>
  <c r="N59"/>
  <c r="N60"/>
  <c r="N64"/>
  <c r="N65"/>
  <c r="N57"/>
  <c r="N55"/>
  <c r="N53"/>
  <c r="O53"/>
  <c r="P53"/>
  <c r="N52"/>
  <c r="N51"/>
  <c r="N48"/>
  <c r="P46"/>
  <c r="P45"/>
  <c r="N45"/>
  <c r="N46"/>
  <c r="N44"/>
  <c r="O40"/>
  <c r="N35"/>
  <c r="N36"/>
  <c r="N37"/>
  <c r="N38"/>
  <c r="N32"/>
  <c r="N33"/>
  <c r="N31"/>
  <c r="N25"/>
  <c r="N26"/>
  <c r="N28"/>
  <c r="N29"/>
  <c r="N24"/>
  <c r="N23"/>
  <c r="N19"/>
  <c r="N18"/>
  <c r="P18"/>
  <c r="N17"/>
  <c r="N14"/>
  <c r="N15"/>
  <c r="N13"/>
  <c r="O13"/>
  <c r="N12"/>
  <c r="O12"/>
  <c r="P12"/>
  <c r="J137"/>
  <c r="J132"/>
  <c r="N98" l="1"/>
  <c r="R98"/>
  <c r="T159"/>
  <c r="O105"/>
  <c r="S105"/>
  <c r="N137"/>
  <c r="R137"/>
  <c r="O45"/>
  <c r="O102"/>
  <c r="O23"/>
  <c r="N132"/>
  <c r="R132"/>
  <c r="P145"/>
  <c r="T145"/>
  <c r="O46"/>
  <c r="O125"/>
  <c r="O18"/>
  <c r="K162"/>
  <c r="S162" s="1"/>
  <c r="L162"/>
  <c r="T162" s="1"/>
  <c r="J162"/>
  <c r="G161"/>
  <c r="H161"/>
  <c r="K152"/>
  <c r="L152"/>
  <c r="T152" s="1"/>
  <c r="J152"/>
  <c r="R152" s="1"/>
  <c r="G152"/>
  <c r="G151" s="1"/>
  <c r="H152"/>
  <c r="H151" s="1"/>
  <c r="F152"/>
  <c r="F151" s="1"/>
  <c r="K142"/>
  <c r="L142"/>
  <c r="J142"/>
  <c r="G141"/>
  <c r="H142"/>
  <c r="H141" s="1"/>
  <c r="K121"/>
  <c r="L121"/>
  <c r="J121"/>
  <c r="G121"/>
  <c r="G120" s="1"/>
  <c r="H121"/>
  <c r="H120" s="1"/>
  <c r="F121"/>
  <c r="K111"/>
  <c r="L111"/>
  <c r="J111"/>
  <c r="G111"/>
  <c r="H111"/>
  <c r="F111"/>
  <c r="K100"/>
  <c r="L100"/>
  <c r="J100"/>
  <c r="G100"/>
  <c r="G99" s="1"/>
  <c r="H100"/>
  <c r="F100"/>
  <c r="F99" s="1"/>
  <c r="K68"/>
  <c r="L68"/>
  <c r="J68"/>
  <c r="G68"/>
  <c r="G67" s="1"/>
  <c r="H68"/>
  <c r="H67" s="1"/>
  <c r="K43"/>
  <c r="L43"/>
  <c r="T43" s="1"/>
  <c r="J43"/>
  <c r="G43"/>
  <c r="H43"/>
  <c r="H42" s="1"/>
  <c r="F43"/>
  <c r="K11"/>
  <c r="L11"/>
  <c r="J11"/>
  <c r="K30"/>
  <c r="S30" s="1"/>
  <c r="L30"/>
  <c r="T30" s="1"/>
  <c r="J30"/>
  <c r="G30"/>
  <c r="H30"/>
  <c r="F30"/>
  <c r="R30" s="1"/>
  <c r="I16"/>
  <c r="I17"/>
  <c r="I18"/>
  <c r="I19"/>
  <c r="I20"/>
  <c r="I21"/>
  <c r="I23"/>
  <c r="I24"/>
  <c r="I25"/>
  <c r="I26"/>
  <c r="I27"/>
  <c r="I28"/>
  <c r="I29"/>
  <c r="I31"/>
  <c r="I32"/>
  <c r="I33"/>
  <c r="I34"/>
  <c r="I35"/>
  <c r="I36"/>
  <c r="I37"/>
  <c r="I38"/>
  <c r="I39"/>
  <c r="I40"/>
  <c r="I44"/>
  <c r="I45"/>
  <c r="I46"/>
  <c r="I48"/>
  <c r="I49"/>
  <c r="I51"/>
  <c r="I52"/>
  <c r="I53"/>
  <c r="I55"/>
  <c r="Q55" s="1"/>
  <c r="I57"/>
  <c r="I58"/>
  <c r="I59"/>
  <c r="I60"/>
  <c r="I62"/>
  <c r="I63"/>
  <c r="I64"/>
  <c r="I65"/>
  <c r="I66"/>
  <c r="M66" s="1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5"/>
  <c r="I96"/>
  <c r="I97"/>
  <c r="I98"/>
  <c r="I101"/>
  <c r="I102"/>
  <c r="I103"/>
  <c r="I104"/>
  <c r="I105"/>
  <c r="I106"/>
  <c r="I107"/>
  <c r="I108"/>
  <c r="I109"/>
  <c r="I112"/>
  <c r="I113"/>
  <c r="I114"/>
  <c r="I115"/>
  <c r="I116"/>
  <c r="I117"/>
  <c r="I118"/>
  <c r="I119"/>
  <c r="I122"/>
  <c r="Q122" s="1"/>
  <c r="I123"/>
  <c r="I124"/>
  <c r="I125"/>
  <c r="I126"/>
  <c r="I127"/>
  <c r="I128"/>
  <c r="I129"/>
  <c r="I130"/>
  <c r="Q130" s="1"/>
  <c r="I131"/>
  <c r="I132"/>
  <c r="I133"/>
  <c r="I134"/>
  <c r="I135"/>
  <c r="I136"/>
  <c r="I137"/>
  <c r="I138"/>
  <c r="Q138" s="1"/>
  <c r="I139"/>
  <c r="I140"/>
  <c r="I143"/>
  <c r="I144"/>
  <c r="I145"/>
  <c r="I146"/>
  <c r="I147"/>
  <c r="I148"/>
  <c r="I150"/>
  <c r="I153"/>
  <c r="Q153" s="1"/>
  <c r="I154"/>
  <c r="Q154" s="1"/>
  <c r="I155"/>
  <c r="Q155" s="1"/>
  <c r="I156"/>
  <c r="Q156" s="1"/>
  <c r="I157"/>
  <c r="I158"/>
  <c r="I159"/>
  <c r="I160"/>
  <c r="Q160" s="1"/>
  <c r="I162"/>
  <c r="I163"/>
  <c r="Q163" s="1"/>
  <c r="I164"/>
  <c r="Q164" s="1"/>
  <c r="I165"/>
  <c r="Q165" s="1"/>
  <c r="I166"/>
  <c r="I167"/>
  <c r="E16"/>
  <c r="E17"/>
  <c r="Q17" s="1"/>
  <c r="E18"/>
  <c r="Q18" s="1"/>
  <c r="E19"/>
  <c r="M19" s="1"/>
  <c r="E20"/>
  <c r="E21"/>
  <c r="E23"/>
  <c r="Q23" s="1"/>
  <c r="E24"/>
  <c r="E25"/>
  <c r="E26"/>
  <c r="E27"/>
  <c r="E28"/>
  <c r="E29"/>
  <c r="E31"/>
  <c r="Q31" s="1"/>
  <c r="E32"/>
  <c r="E33"/>
  <c r="E34"/>
  <c r="E35"/>
  <c r="Q35" s="1"/>
  <c r="E36"/>
  <c r="E37"/>
  <c r="E38"/>
  <c r="Q38" s="1"/>
  <c r="E39"/>
  <c r="E40"/>
  <c r="E44"/>
  <c r="E45"/>
  <c r="Q45" s="1"/>
  <c r="E46"/>
  <c r="Q46" s="1"/>
  <c r="E48"/>
  <c r="E49"/>
  <c r="E51"/>
  <c r="E52"/>
  <c r="E53"/>
  <c r="Q53" s="1"/>
  <c r="E55"/>
  <c r="E57"/>
  <c r="Q57" s="1"/>
  <c r="E58"/>
  <c r="Q58" s="1"/>
  <c r="E59"/>
  <c r="E60"/>
  <c r="Q60" s="1"/>
  <c r="E62"/>
  <c r="E63"/>
  <c r="E64"/>
  <c r="E65"/>
  <c r="E66"/>
  <c r="E69"/>
  <c r="Q69" s="1"/>
  <c r="E70"/>
  <c r="E71"/>
  <c r="E72"/>
  <c r="E73"/>
  <c r="E74"/>
  <c r="E75"/>
  <c r="E76"/>
  <c r="E77"/>
  <c r="Q77" s="1"/>
  <c r="E78"/>
  <c r="E79"/>
  <c r="Q79" s="1"/>
  <c r="E80"/>
  <c r="E81"/>
  <c r="E82"/>
  <c r="E83"/>
  <c r="E84"/>
  <c r="M84" s="1"/>
  <c r="E85"/>
  <c r="Q85" s="1"/>
  <c r="E86"/>
  <c r="E87"/>
  <c r="E88"/>
  <c r="E89"/>
  <c r="E90"/>
  <c r="Q90" s="1"/>
  <c r="E91"/>
  <c r="E92"/>
  <c r="Q92" s="1"/>
  <c r="E93"/>
  <c r="Q93" s="1"/>
  <c r="E95"/>
  <c r="E96"/>
  <c r="E97"/>
  <c r="E98"/>
  <c r="Q98" s="1"/>
  <c r="E101"/>
  <c r="E102"/>
  <c r="E103"/>
  <c r="E104"/>
  <c r="E105"/>
  <c r="E106"/>
  <c r="E107"/>
  <c r="M107" s="1"/>
  <c r="E108"/>
  <c r="E109"/>
  <c r="E112"/>
  <c r="E113"/>
  <c r="M113" s="1"/>
  <c r="E114"/>
  <c r="E115"/>
  <c r="E116"/>
  <c r="E117"/>
  <c r="M117" s="1"/>
  <c r="E118"/>
  <c r="M118" s="1"/>
  <c r="E119"/>
  <c r="M119" s="1"/>
  <c r="E122"/>
  <c r="E123"/>
  <c r="E124"/>
  <c r="E125"/>
  <c r="E126"/>
  <c r="M126" s="1"/>
  <c r="E127"/>
  <c r="E128"/>
  <c r="E129"/>
  <c r="E130"/>
  <c r="E131"/>
  <c r="E132"/>
  <c r="E133"/>
  <c r="M133" s="1"/>
  <c r="E134"/>
  <c r="E135"/>
  <c r="M135" s="1"/>
  <c r="E136"/>
  <c r="E137"/>
  <c r="E138"/>
  <c r="E139"/>
  <c r="E140"/>
  <c r="E142"/>
  <c r="E141" s="1"/>
  <c r="E143"/>
  <c r="E144"/>
  <c r="E145"/>
  <c r="E146"/>
  <c r="M146" s="1"/>
  <c r="E147"/>
  <c r="M147" s="1"/>
  <c r="E148"/>
  <c r="E150"/>
  <c r="E152"/>
  <c r="E151" s="1"/>
  <c r="E153"/>
  <c r="E154"/>
  <c r="E155"/>
  <c r="E156"/>
  <c r="E157"/>
  <c r="E158"/>
  <c r="E159"/>
  <c r="E160"/>
  <c r="E162"/>
  <c r="E161" s="1"/>
  <c r="E163"/>
  <c r="E164"/>
  <c r="E165"/>
  <c r="E166"/>
  <c r="E167"/>
  <c r="O29"/>
  <c r="P29"/>
  <c r="O66"/>
  <c r="P66"/>
  <c r="N66"/>
  <c r="I13"/>
  <c r="I14"/>
  <c r="I15"/>
  <c r="I12"/>
  <c r="E13"/>
  <c r="E14"/>
  <c r="E15"/>
  <c r="E12"/>
  <c r="G11"/>
  <c r="H11"/>
  <c r="F11"/>
  <c r="F10" s="1"/>
  <c r="M52" l="1"/>
  <c r="M48"/>
  <c r="S43"/>
  <c r="Q102"/>
  <c r="Q162"/>
  <c r="S121"/>
  <c r="T121"/>
  <c r="T100"/>
  <c r="Q112"/>
  <c r="R100"/>
  <c r="J120"/>
  <c r="R121"/>
  <c r="Q143"/>
  <c r="Q125"/>
  <c r="Q13"/>
  <c r="Q126"/>
  <c r="Q106"/>
  <c r="Q49"/>
  <c r="Q135"/>
  <c r="Q117"/>
  <c r="Q20"/>
  <c r="Q15"/>
  <c r="Q166"/>
  <c r="Q157"/>
  <c r="Q146"/>
  <c r="Q136"/>
  <c r="Q128"/>
  <c r="Q118"/>
  <c r="Q108"/>
  <c r="Q63"/>
  <c r="Q52"/>
  <c r="Q39"/>
  <c r="Q21"/>
  <c r="T68"/>
  <c r="T142"/>
  <c r="J141"/>
  <c r="R142"/>
  <c r="I152"/>
  <c r="Q152" s="1"/>
  <c r="S152"/>
  <c r="Q133"/>
  <c r="Q144"/>
  <c r="Q116"/>
  <c r="Q96"/>
  <c r="Q19"/>
  <c r="Q14"/>
  <c r="M164"/>
  <c r="Q145"/>
  <c r="Q127"/>
  <c r="Q107"/>
  <c r="Q29"/>
  <c r="S68"/>
  <c r="S142"/>
  <c r="Q12"/>
  <c r="M122"/>
  <c r="M112"/>
  <c r="Q91"/>
  <c r="Q65"/>
  <c r="Q167"/>
  <c r="Q158"/>
  <c r="Q147"/>
  <c r="Q137"/>
  <c r="Q129"/>
  <c r="Q119"/>
  <c r="Q109"/>
  <c r="Q101"/>
  <c r="Q40"/>
  <c r="S100"/>
  <c r="Q159"/>
  <c r="Q148"/>
  <c r="S11"/>
  <c r="K110"/>
  <c r="S111"/>
  <c r="Q150"/>
  <c r="Q139"/>
  <c r="Q131"/>
  <c r="Q123"/>
  <c r="Q113"/>
  <c r="Q103"/>
  <c r="Q84"/>
  <c r="Q66"/>
  <c r="Q34"/>
  <c r="Q16"/>
  <c r="T11"/>
  <c r="L110"/>
  <c r="T111"/>
  <c r="Q140"/>
  <c r="Q132"/>
  <c r="Q124"/>
  <c r="Q114"/>
  <c r="Q104"/>
  <c r="Q26"/>
  <c r="J110"/>
  <c r="R111"/>
  <c r="J161"/>
  <c r="R162"/>
  <c r="Q95"/>
  <c r="Q27"/>
  <c r="Q105"/>
  <c r="Q48"/>
  <c r="Q134"/>
  <c r="M153"/>
  <c r="Q115"/>
  <c r="M97"/>
  <c r="Q97"/>
  <c r="Q89"/>
  <c r="M88"/>
  <c r="Q88"/>
  <c r="M87"/>
  <c r="Q87"/>
  <c r="M86"/>
  <c r="Q86"/>
  <c r="M83"/>
  <c r="Q83"/>
  <c r="M82"/>
  <c r="Q82"/>
  <c r="M81"/>
  <c r="Q81"/>
  <c r="M80"/>
  <c r="Q80"/>
  <c r="M78"/>
  <c r="Q78"/>
  <c r="M76"/>
  <c r="Q76"/>
  <c r="M75"/>
  <c r="Q75"/>
  <c r="M74"/>
  <c r="Q74"/>
  <c r="M73"/>
  <c r="Q73"/>
  <c r="M72"/>
  <c r="Q72"/>
  <c r="M71"/>
  <c r="Q71"/>
  <c r="M70"/>
  <c r="Q70"/>
  <c r="F67"/>
  <c r="R67" s="1"/>
  <c r="R68"/>
  <c r="M64"/>
  <c r="Q64"/>
  <c r="Q62"/>
  <c r="M59"/>
  <c r="Q59"/>
  <c r="M51"/>
  <c r="Q51"/>
  <c r="F42"/>
  <c r="R42" s="1"/>
  <c r="R43"/>
  <c r="M44"/>
  <c r="Q44"/>
  <c r="M37"/>
  <c r="Q37"/>
  <c r="M36"/>
  <c r="Q36"/>
  <c r="M32"/>
  <c r="Q32"/>
  <c r="M33"/>
  <c r="Q33"/>
  <c r="M28"/>
  <c r="Q28"/>
  <c r="M25"/>
  <c r="Q25"/>
  <c r="M24"/>
  <c r="Q24"/>
  <c r="R10"/>
  <c r="R11"/>
  <c r="M166"/>
  <c r="E11"/>
  <c r="M13"/>
  <c r="M167"/>
  <c r="M14"/>
  <c r="M124"/>
  <c r="M114"/>
  <c r="M58"/>
  <c r="M35"/>
  <c r="M26"/>
  <c r="M17"/>
  <c r="N142"/>
  <c r="M77"/>
  <c r="I11"/>
  <c r="N162"/>
  <c r="N111"/>
  <c r="N121"/>
  <c r="M29"/>
  <c r="M31"/>
  <c r="M101"/>
  <c r="M40"/>
  <c r="F161"/>
  <c r="N161" s="1"/>
  <c r="M163"/>
  <c r="M150"/>
  <c r="M143"/>
  <c r="M145"/>
  <c r="F141"/>
  <c r="M132"/>
  <c r="M137"/>
  <c r="M129"/>
  <c r="E121"/>
  <c r="E120" s="1"/>
  <c r="M125"/>
  <c r="F120"/>
  <c r="N120" s="1"/>
  <c r="H110"/>
  <c r="P110" s="1"/>
  <c r="P111"/>
  <c r="G110"/>
  <c r="O110" s="1"/>
  <c r="O111"/>
  <c r="F110"/>
  <c r="M104"/>
  <c r="M105"/>
  <c r="M106"/>
  <c r="M102"/>
  <c r="M103"/>
  <c r="M98"/>
  <c r="M93"/>
  <c r="M91"/>
  <c r="M92"/>
  <c r="M79"/>
  <c r="M69"/>
  <c r="E68"/>
  <c r="N68"/>
  <c r="M65"/>
  <c r="M55"/>
  <c r="M57"/>
  <c r="M60"/>
  <c r="M53"/>
  <c r="E43"/>
  <c r="N43"/>
  <c r="G42"/>
  <c r="M45"/>
  <c r="M46"/>
  <c r="M38"/>
  <c r="N30"/>
  <c r="M23"/>
  <c r="M18"/>
  <c r="M15"/>
  <c r="M12"/>
  <c r="K161"/>
  <c r="O162"/>
  <c r="L161"/>
  <c r="P162"/>
  <c r="I161"/>
  <c r="M162"/>
  <c r="K151"/>
  <c r="L151"/>
  <c r="I142"/>
  <c r="Q142" s="1"/>
  <c r="O142"/>
  <c r="L141"/>
  <c r="P142"/>
  <c r="L120"/>
  <c r="P121"/>
  <c r="K120"/>
  <c r="O121"/>
  <c r="L99"/>
  <c r="P100"/>
  <c r="L67"/>
  <c r="P68"/>
  <c r="L42"/>
  <c r="P43"/>
  <c r="L10"/>
  <c r="P11"/>
  <c r="K67"/>
  <c r="O68"/>
  <c r="K42"/>
  <c r="O43"/>
  <c r="K10"/>
  <c r="O11"/>
  <c r="K99"/>
  <c r="O100"/>
  <c r="I151"/>
  <c r="M152"/>
  <c r="J151"/>
  <c r="N152"/>
  <c r="J99"/>
  <c r="N100"/>
  <c r="N11"/>
  <c r="J10"/>
  <c r="K141"/>
  <c r="I121"/>
  <c r="K9"/>
  <c r="I111"/>
  <c r="I100"/>
  <c r="I68"/>
  <c r="J67"/>
  <c r="J42"/>
  <c r="I43"/>
  <c r="E111"/>
  <c r="M111" s="1"/>
  <c r="H99"/>
  <c r="E100"/>
  <c r="E99" s="1"/>
  <c r="I30"/>
  <c r="E30"/>
  <c r="H10"/>
  <c r="H9" s="1"/>
  <c r="G10"/>
  <c r="O171" i="7"/>
  <c r="N171"/>
  <c r="M171"/>
  <c r="L171"/>
  <c r="K171"/>
  <c r="J171"/>
  <c r="I171"/>
  <c r="H171"/>
  <c r="G171"/>
  <c r="F171"/>
  <c r="E171"/>
  <c r="H165"/>
  <c r="O165" s="1"/>
  <c r="H164"/>
  <c r="O164" s="1"/>
  <c r="H163"/>
  <c r="O163" s="1"/>
  <c r="N161"/>
  <c r="M161"/>
  <c r="L161"/>
  <c r="H161" s="1"/>
  <c r="E161"/>
  <c r="H160"/>
  <c r="O160" s="1"/>
  <c r="N158"/>
  <c r="M158"/>
  <c r="L158"/>
  <c r="H158" s="1"/>
  <c r="O158" s="1"/>
  <c r="O157"/>
  <c r="O156"/>
  <c r="E156"/>
  <c r="N155"/>
  <c r="N153" s="1"/>
  <c r="N152" s="1"/>
  <c r="M155"/>
  <c r="M153" s="1"/>
  <c r="M152" s="1"/>
  <c r="L155"/>
  <c r="H155" s="1"/>
  <c r="E155"/>
  <c r="H154"/>
  <c r="O154" s="1"/>
  <c r="F154"/>
  <c r="E154"/>
  <c r="E153" s="1"/>
  <c r="L153"/>
  <c r="L152" s="1"/>
  <c r="K153"/>
  <c r="K152" s="1"/>
  <c r="J153"/>
  <c r="I153"/>
  <c r="I152" s="1"/>
  <c r="G153"/>
  <c r="F153"/>
  <c r="J152"/>
  <c r="G152"/>
  <c r="F152"/>
  <c r="O151"/>
  <c r="N150"/>
  <c r="M150"/>
  <c r="M146" s="1"/>
  <c r="M145" s="1"/>
  <c r="L150"/>
  <c r="H150" s="1"/>
  <c r="O150" s="1"/>
  <c r="H149"/>
  <c r="O149" s="1"/>
  <c r="O148"/>
  <c r="O147"/>
  <c r="F147"/>
  <c r="N146"/>
  <c r="N145" s="1"/>
  <c r="L146"/>
  <c r="L145" s="1"/>
  <c r="K146"/>
  <c r="K145" s="1"/>
  <c r="J146"/>
  <c r="J145" s="1"/>
  <c r="I146"/>
  <c r="I145" s="1"/>
  <c r="G146"/>
  <c r="F146"/>
  <c r="F145" s="1"/>
  <c r="E146"/>
  <c r="E145" s="1"/>
  <c r="G145"/>
  <c r="O144"/>
  <c r="H144"/>
  <c r="F144"/>
  <c r="N143"/>
  <c r="N142" s="1"/>
  <c r="M143"/>
  <c r="M142" s="1"/>
  <c r="L143"/>
  <c r="H143"/>
  <c r="O143" s="1"/>
  <c r="O142" s="1"/>
  <c r="F143"/>
  <c r="F142" s="1"/>
  <c r="E143"/>
  <c r="L142"/>
  <c r="K142"/>
  <c r="J142"/>
  <c r="I142"/>
  <c r="H142"/>
  <c r="G142"/>
  <c r="E142"/>
  <c r="H141"/>
  <c r="O141" s="1"/>
  <c r="H140"/>
  <c r="O140" s="1"/>
  <c r="N139"/>
  <c r="M139"/>
  <c r="L139"/>
  <c r="L136" s="1"/>
  <c r="L135" s="1"/>
  <c r="H139"/>
  <c r="H138"/>
  <c r="O138" s="1"/>
  <c r="H137"/>
  <c r="O137" s="1"/>
  <c r="F137"/>
  <c r="N136"/>
  <c r="N135" s="1"/>
  <c r="M136"/>
  <c r="M135" s="1"/>
  <c r="K136"/>
  <c r="K135" s="1"/>
  <c r="J136"/>
  <c r="J135" s="1"/>
  <c r="I136"/>
  <c r="G136"/>
  <c r="F136"/>
  <c r="F135" s="1"/>
  <c r="E136"/>
  <c r="I135"/>
  <c r="G135"/>
  <c r="H134"/>
  <c r="O134" s="1"/>
  <c r="H133"/>
  <c r="O133" s="1"/>
  <c r="N132"/>
  <c r="M132"/>
  <c r="L132"/>
  <c r="H132" s="1"/>
  <c r="O132" s="1"/>
  <c r="E132"/>
  <c r="N131"/>
  <c r="M131"/>
  <c r="L131"/>
  <c r="H131" s="1"/>
  <c r="O131" s="1"/>
  <c r="H130"/>
  <c r="O130" s="1"/>
  <c r="O129"/>
  <c r="H129"/>
  <c r="N128"/>
  <c r="M128"/>
  <c r="L128"/>
  <c r="H128" s="1"/>
  <c r="E128"/>
  <c r="O128" s="1"/>
  <c r="N127"/>
  <c r="M127"/>
  <c r="L127"/>
  <c r="H127" s="1"/>
  <c r="O127" s="1"/>
  <c r="H126"/>
  <c r="O126" s="1"/>
  <c r="N125"/>
  <c r="M125"/>
  <c r="L125"/>
  <c r="H125"/>
  <c r="O125" s="1"/>
  <c r="N124"/>
  <c r="M124"/>
  <c r="L124"/>
  <c r="H124"/>
  <c r="O124" s="1"/>
  <c r="H123"/>
  <c r="O123" s="1"/>
  <c r="N122"/>
  <c r="M122"/>
  <c r="L122"/>
  <c r="H122" s="1"/>
  <c r="O121"/>
  <c r="H120"/>
  <c r="O120" s="1"/>
  <c r="F120"/>
  <c r="F119" s="1"/>
  <c r="F118" s="1"/>
  <c r="K119"/>
  <c r="K118" s="1"/>
  <c r="J119"/>
  <c r="J118" s="1"/>
  <c r="I119"/>
  <c r="I118" s="1"/>
  <c r="G119"/>
  <c r="G118" s="1"/>
  <c r="E119"/>
  <c r="E118" s="1"/>
  <c r="O117"/>
  <c r="O116"/>
  <c r="O115"/>
  <c r="O114"/>
  <c r="O113"/>
  <c r="H111"/>
  <c r="F111"/>
  <c r="E111"/>
  <c r="E110" s="1"/>
  <c r="N110"/>
  <c r="N109" s="1"/>
  <c r="M110"/>
  <c r="L110"/>
  <c r="L109" s="1"/>
  <c r="K110"/>
  <c r="J110"/>
  <c r="J109" s="1"/>
  <c r="I110"/>
  <c r="H110" s="1"/>
  <c r="H109" s="1"/>
  <c r="G110"/>
  <c r="G109" s="1"/>
  <c r="F110"/>
  <c r="F109" s="1"/>
  <c r="M109"/>
  <c r="K109"/>
  <c r="E108"/>
  <c r="O108" s="1"/>
  <c r="H107"/>
  <c r="O107" s="1"/>
  <c r="N106"/>
  <c r="M106"/>
  <c r="L106"/>
  <c r="J106"/>
  <c r="I106"/>
  <c r="I101" s="1"/>
  <c r="H106"/>
  <c r="F106"/>
  <c r="E106"/>
  <c r="N105"/>
  <c r="M105"/>
  <c r="L105"/>
  <c r="H105"/>
  <c r="F105"/>
  <c r="E105"/>
  <c r="O105" s="1"/>
  <c r="N104"/>
  <c r="M104"/>
  <c r="L104"/>
  <c r="H104" s="1"/>
  <c r="F104"/>
  <c r="E104"/>
  <c r="N103"/>
  <c r="M103"/>
  <c r="L103"/>
  <c r="H103" s="1"/>
  <c r="O103" s="1"/>
  <c r="J103"/>
  <c r="I103"/>
  <c r="F103"/>
  <c r="O102"/>
  <c r="F102"/>
  <c r="K101"/>
  <c r="K100" s="1"/>
  <c r="J101"/>
  <c r="J100" s="1"/>
  <c r="G101"/>
  <c r="G100" s="1"/>
  <c r="O99"/>
  <c r="O98"/>
  <c r="O97"/>
  <c r="H97"/>
  <c r="F97"/>
  <c r="F96" s="1"/>
  <c r="F95" s="1"/>
  <c r="N96"/>
  <c r="N95" s="1"/>
  <c r="M96"/>
  <c r="M95" s="1"/>
  <c r="L96"/>
  <c r="K96"/>
  <c r="J96"/>
  <c r="J95" s="1"/>
  <c r="I96"/>
  <c r="I95" s="1"/>
  <c r="E96"/>
  <c r="E95" s="1"/>
  <c r="K95"/>
  <c r="E94"/>
  <c r="O94" s="1"/>
  <c r="E93"/>
  <c r="O93" s="1"/>
  <c r="O92"/>
  <c r="O90"/>
  <c r="F90"/>
  <c r="F70" s="1"/>
  <c r="F69" s="1"/>
  <c r="E90"/>
  <c r="H89"/>
  <c r="F89"/>
  <c r="E89"/>
  <c r="O89" s="1"/>
  <c r="O88"/>
  <c r="O87"/>
  <c r="O86"/>
  <c r="O85"/>
  <c r="O84"/>
  <c r="O83"/>
  <c r="O82"/>
  <c r="O81"/>
  <c r="E81"/>
  <c r="O80"/>
  <c r="O79"/>
  <c r="O78"/>
  <c r="O77"/>
  <c r="O76"/>
  <c r="O75"/>
  <c r="O74"/>
  <c r="O73"/>
  <c r="O72"/>
  <c r="H71"/>
  <c r="H70" s="1"/>
  <c r="H69" s="1"/>
  <c r="F71"/>
  <c r="E71"/>
  <c r="N70"/>
  <c r="N69" s="1"/>
  <c r="M70"/>
  <c r="M69" s="1"/>
  <c r="L70"/>
  <c r="L69" s="1"/>
  <c r="K70"/>
  <c r="K69" s="1"/>
  <c r="J70"/>
  <c r="J69" s="1"/>
  <c r="I70"/>
  <c r="I69" s="1"/>
  <c r="G70"/>
  <c r="G69"/>
  <c r="H68"/>
  <c r="O68" s="1"/>
  <c r="H67"/>
  <c r="F67"/>
  <c r="E67"/>
  <c r="H66"/>
  <c r="O66" s="1"/>
  <c r="H65"/>
  <c r="O65" s="1"/>
  <c r="H63"/>
  <c r="G63"/>
  <c r="F63"/>
  <c r="E63"/>
  <c r="O63" s="1"/>
  <c r="H62"/>
  <c r="F62"/>
  <c r="E62"/>
  <c r="O62" s="1"/>
  <c r="O61"/>
  <c r="H61"/>
  <c r="L60"/>
  <c r="H60" s="1"/>
  <c r="O60" s="1"/>
  <c r="F60"/>
  <c r="E60"/>
  <c r="H59"/>
  <c r="O59" s="1"/>
  <c r="H58"/>
  <c r="O58" s="1"/>
  <c r="N56"/>
  <c r="M56"/>
  <c r="L56"/>
  <c r="H56" s="1"/>
  <c r="F56"/>
  <c r="E56"/>
  <c r="H55"/>
  <c r="O55" s="1"/>
  <c r="H54"/>
  <c r="O54" s="1"/>
  <c r="F54"/>
  <c r="H53"/>
  <c r="O53" s="1"/>
  <c r="H52"/>
  <c r="O52" s="1"/>
  <c r="N50"/>
  <c r="M50"/>
  <c r="L50"/>
  <c r="H50" s="1"/>
  <c r="F50"/>
  <c r="E50"/>
  <c r="N49"/>
  <c r="M49"/>
  <c r="L49"/>
  <c r="H49"/>
  <c r="O49" s="1"/>
  <c r="F49"/>
  <c r="E49"/>
  <c r="H48"/>
  <c r="O48" s="1"/>
  <c r="F48"/>
  <c r="F47" s="1"/>
  <c r="F46" s="1"/>
  <c r="K47"/>
  <c r="J47"/>
  <c r="I47"/>
  <c r="I46" s="1"/>
  <c r="G47"/>
  <c r="G46" s="1"/>
  <c r="K46"/>
  <c r="J46"/>
  <c r="E45"/>
  <c r="O45" s="1"/>
  <c r="O44"/>
  <c r="H44"/>
  <c r="F44"/>
  <c r="F43" s="1"/>
  <c r="F42" s="1"/>
  <c r="N43"/>
  <c r="M43"/>
  <c r="L43"/>
  <c r="L42" s="1"/>
  <c r="K43"/>
  <c r="K42" s="1"/>
  <c r="J43"/>
  <c r="J42" s="1"/>
  <c r="I43"/>
  <c r="I42" s="1"/>
  <c r="H43"/>
  <c r="H42" s="1"/>
  <c r="G43"/>
  <c r="N42"/>
  <c r="M42"/>
  <c r="G42"/>
  <c r="E41"/>
  <c r="O41" s="1"/>
  <c r="N40"/>
  <c r="N39" s="1"/>
  <c r="N38" s="1"/>
  <c r="M40"/>
  <c r="M39" s="1"/>
  <c r="M38" s="1"/>
  <c r="L40"/>
  <c r="L39" s="1"/>
  <c r="L38" s="1"/>
  <c r="H40"/>
  <c r="H39" s="1"/>
  <c r="H38" s="1"/>
  <c r="F40"/>
  <c r="F39" s="1"/>
  <c r="F38" s="1"/>
  <c r="K39"/>
  <c r="J39"/>
  <c r="J38" s="1"/>
  <c r="I39"/>
  <c r="I38" s="1"/>
  <c r="G39"/>
  <c r="K38"/>
  <c r="G38"/>
  <c r="O37"/>
  <c r="H37"/>
  <c r="E37"/>
  <c r="H36"/>
  <c r="O36" s="1"/>
  <c r="F36"/>
  <c r="N35"/>
  <c r="M35"/>
  <c r="M34" s="1"/>
  <c r="L35"/>
  <c r="L34" s="1"/>
  <c r="I35"/>
  <c r="G35"/>
  <c r="F35"/>
  <c r="F34" s="1"/>
  <c r="E35"/>
  <c r="N34"/>
  <c r="I34"/>
  <c r="G34"/>
  <c r="E34"/>
  <c r="O33"/>
  <c r="I32"/>
  <c r="H32"/>
  <c r="O32" s="1"/>
  <c r="O31"/>
  <c r="O30"/>
  <c r="O29"/>
  <c r="O28"/>
  <c r="E27"/>
  <c r="O27" s="1"/>
  <c r="H26"/>
  <c r="O26" s="1"/>
  <c r="O25"/>
  <c r="O24"/>
  <c r="O23"/>
  <c r="H22"/>
  <c r="O22" s="1"/>
  <c r="O21"/>
  <c r="H21"/>
  <c r="H20"/>
  <c r="E20"/>
  <c r="O20" s="1"/>
  <c r="H18"/>
  <c r="H17"/>
  <c r="O17" s="1"/>
  <c r="N16"/>
  <c r="M16"/>
  <c r="L16"/>
  <c r="L12" s="1"/>
  <c r="L11" s="1"/>
  <c r="H16"/>
  <c r="E16"/>
  <c r="E15"/>
  <c r="O15" s="1"/>
  <c r="O14"/>
  <c r="L13"/>
  <c r="I13"/>
  <c r="H13"/>
  <c r="G13"/>
  <c r="G12" s="1"/>
  <c r="G11" s="1"/>
  <c r="F13"/>
  <c r="F12" s="1"/>
  <c r="F11" s="1"/>
  <c r="E13"/>
  <c r="N12"/>
  <c r="N11" s="1"/>
  <c r="M12"/>
  <c r="M11" s="1"/>
  <c r="K12"/>
  <c r="K11" s="1"/>
  <c r="J12"/>
  <c r="J11" s="1"/>
  <c r="I12"/>
  <c r="I11" s="1"/>
  <c r="S42" i="10" l="1"/>
  <c r="R141"/>
  <c r="S10"/>
  <c r="Q121"/>
  <c r="R110"/>
  <c r="P120"/>
  <c r="T120"/>
  <c r="O99"/>
  <c r="S99"/>
  <c r="O120"/>
  <c r="S120"/>
  <c r="T151"/>
  <c r="O161"/>
  <c r="S161"/>
  <c r="N141"/>
  <c r="Q30"/>
  <c r="R161"/>
  <c r="T10"/>
  <c r="S110"/>
  <c r="R120"/>
  <c r="I110"/>
  <c r="Q111"/>
  <c r="N99"/>
  <c r="R99"/>
  <c r="P42"/>
  <c r="T42"/>
  <c r="S151"/>
  <c r="Q100"/>
  <c r="N110"/>
  <c r="O141"/>
  <c r="S141"/>
  <c r="M151"/>
  <c r="Q151"/>
  <c r="O67"/>
  <c r="S67"/>
  <c r="P161"/>
  <c r="T161"/>
  <c r="T99"/>
  <c r="N151"/>
  <c r="R151"/>
  <c r="P67"/>
  <c r="T67"/>
  <c r="P141"/>
  <c r="T141"/>
  <c r="M161"/>
  <c r="Q161"/>
  <c r="T110"/>
  <c r="N67"/>
  <c r="E67"/>
  <c r="Q68"/>
  <c r="N42"/>
  <c r="E42"/>
  <c r="Q43"/>
  <c r="E10"/>
  <c r="F9"/>
  <c r="F169" s="1"/>
  <c r="M11"/>
  <c r="Q11"/>
  <c r="M30"/>
  <c r="P99"/>
  <c r="H169"/>
  <c r="O42"/>
  <c r="O10"/>
  <c r="I141"/>
  <c r="M142"/>
  <c r="I120"/>
  <c r="M121"/>
  <c r="L9"/>
  <c r="T9" s="1"/>
  <c r="P10"/>
  <c r="I10"/>
  <c r="I9" s="1"/>
  <c r="I99"/>
  <c r="M100"/>
  <c r="I67"/>
  <c r="M68"/>
  <c r="I42"/>
  <c r="M43"/>
  <c r="N10"/>
  <c r="J9"/>
  <c r="K169"/>
  <c r="E110"/>
  <c r="M110" s="1"/>
  <c r="G9"/>
  <c r="G169" s="1"/>
  <c r="F101" i="7"/>
  <c r="F100" s="1"/>
  <c r="H12"/>
  <c r="H11" s="1"/>
  <c r="O71"/>
  <c r="M101"/>
  <c r="M100" s="1"/>
  <c r="I109"/>
  <c r="O13"/>
  <c r="E18"/>
  <c r="O18" s="1"/>
  <c r="M47"/>
  <c r="M46" s="1"/>
  <c r="M166" s="1"/>
  <c r="M172" s="1"/>
  <c r="O56"/>
  <c r="E70"/>
  <c r="O70" s="1"/>
  <c r="O106"/>
  <c r="N119"/>
  <c r="N118" s="1"/>
  <c r="O161"/>
  <c r="H136"/>
  <c r="H135" s="1"/>
  <c r="E12"/>
  <c r="N47"/>
  <c r="N46" s="1"/>
  <c r="N166" s="1"/>
  <c r="N172" s="1"/>
  <c r="O67"/>
  <c r="H96"/>
  <c r="H95" s="1"/>
  <c r="N101"/>
  <c r="N100" s="1"/>
  <c r="M119"/>
  <c r="M118" s="1"/>
  <c r="H153"/>
  <c r="H152" s="1"/>
  <c r="O50"/>
  <c r="H47"/>
  <c r="H46" s="1"/>
  <c r="E69"/>
  <c r="O69" s="1"/>
  <c r="H119"/>
  <c r="O122"/>
  <c r="O104"/>
  <c r="O155"/>
  <c r="J166"/>
  <c r="J172" s="1"/>
  <c r="I166"/>
  <c r="G166"/>
  <c r="G172" s="1"/>
  <c r="I100"/>
  <c r="E11"/>
  <c r="O12"/>
  <c r="K166"/>
  <c r="K172" s="1"/>
  <c r="F166"/>
  <c r="F172" s="1"/>
  <c r="O136"/>
  <c r="O135" s="1"/>
  <c r="O110"/>
  <c r="E109"/>
  <c r="O109" s="1"/>
  <c r="E152"/>
  <c r="O153"/>
  <c r="O152" s="1"/>
  <c r="O16"/>
  <c r="H35"/>
  <c r="H34" s="1"/>
  <c r="O34" s="1"/>
  <c r="E47"/>
  <c r="L95"/>
  <c r="E135"/>
  <c r="E39"/>
  <c r="O40"/>
  <c r="L47"/>
  <c r="L46" s="1"/>
  <c r="O111"/>
  <c r="L119"/>
  <c r="L118" s="1"/>
  <c r="O139"/>
  <c r="H146"/>
  <c r="H145" s="1"/>
  <c r="E101"/>
  <c r="O146"/>
  <c r="O145" s="1"/>
  <c r="E43"/>
  <c r="O96"/>
  <c r="O95" s="1"/>
  <c r="L101"/>
  <c r="L100" s="1"/>
  <c r="S9" i="10" l="1"/>
  <c r="S169"/>
  <c r="M141"/>
  <c r="Q141"/>
  <c r="Q10"/>
  <c r="Q67"/>
  <c r="Q110"/>
  <c r="M99"/>
  <c r="Q99"/>
  <c r="M120"/>
  <c r="Q120"/>
  <c r="Q42"/>
  <c r="M67"/>
  <c r="M42"/>
  <c r="E9"/>
  <c r="Q9" s="1"/>
  <c r="N9"/>
  <c r="R9"/>
  <c r="E169"/>
  <c r="O9"/>
  <c r="M10"/>
  <c r="P9"/>
  <c r="L169"/>
  <c r="O169"/>
  <c r="J169"/>
  <c r="R169" s="1"/>
  <c r="L166" i="7"/>
  <c r="L172" s="1"/>
  <c r="O35"/>
  <c r="O43"/>
  <c r="E42"/>
  <c r="O42" s="1"/>
  <c r="I172"/>
  <c r="O101"/>
  <c r="O100" s="1"/>
  <c r="E100"/>
  <c r="O11"/>
  <c r="H101"/>
  <c r="H100" s="1"/>
  <c r="O119"/>
  <c r="H118"/>
  <c r="O118" s="1"/>
  <c r="O47"/>
  <c r="E46"/>
  <c r="O46" s="1"/>
  <c r="O39"/>
  <c r="E38"/>
  <c r="O38" s="1"/>
  <c r="P169" i="10" l="1"/>
  <c r="T169"/>
  <c r="M9"/>
  <c r="N169"/>
  <c r="I169"/>
  <c r="M169" s="1"/>
  <c r="H166" i="7"/>
  <c r="H172" s="1"/>
  <c r="E166"/>
  <c r="Q169" i="10" l="1"/>
  <c r="O166" i="7"/>
  <c r="O172" s="1"/>
  <c r="E172"/>
  <c r="N159" i="4" l="1"/>
  <c r="M159"/>
  <c r="L159"/>
  <c r="L157" s="1"/>
  <c r="O69"/>
  <c r="O70"/>
  <c r="O71"/>
  <c r="O72"/>
  <c r="O73"/>
  <c r="O74"/>
  <c r="O75"/>
  <c r="O76"/>
  <c r="O77"/>
  <c r="O78"/>
  <c r="O79"/>
  <c r="O80"/>
  <c r="O81"/>
  <c r="O82"/>
  <c r="O83"/>
  <c r="O84"/>
  <c r="O85"/>
  <c r="E68"/>
  <c r="E67" s="1"/>
  <c r="M165"/>
  <c r="N165"/>
  <c r="L165"/>
  <c r="E165"/>
  <c r="H162"/>
  <c r="M162"/>
  <c r="N162"/>
  <c r="L162"/>
  <c r="H164"/>
  <c r="O164" s="1"/>
  <c r="N130"/>
  <c r="M130"/>
  <c r="L130"/>
  <c r="H168"/>
  <c r="L100"/>
  <c r="N157" l="1"/>
  <c r="M157"/>
  <c r="N124"/>
  <c r="M124"/>
  <c r="L124"/>
  <c r="N119"/>
  <c r="M119"/>
  <c r="L119"/>
  <c r="M154"/>
  <c r="M153" s="1"/>
  <c r="N154"/>
  <c r="N153" s="1"/>
  <c r="L154"/>
  <c r="H154" s="1"/>
  <c r="H155"/>
  <c r="O155" s="1"/>
  <c r="O154" s="1"/>
  <c r="O153" s="1"/>
  <c r="L153" l="1"/>
  <c r="H153" s="1"/>
  <c r="E157"/>
  <c r="H169"/>
  <c r="O169" s="1"/>
  <c r="O162"/>
  <c r="H126" l="1"/>
  <c r="O126" s="1"/>
  <c r="H127"/>
  <c r="O127" s="1"/>
  <c r="H128"/>
  <c r="O128" s="1"/>
  <c r="H129"/>
  <c r="O129" s="1"/>
  <c r="E116"/>
  <c r="M46"/>
  <c r="N46"/>
  <c r="L46"/>
  <c r="H65"/>
  <c r="O65" s="1"/>
  <c r="E16"/>
  <c r="O168"/>
  <c r="H167"/>
  <c r="O167" s="1"/>
  <c r="J135" l="1"/>
  <c r="K135"/>
  <c r="L135"/>
  <c r="M135"/>
  <c r="N135"/>
  <c r="I135"/>
  <c r="H139"/>
  <c r="O139" s="1"/>
  <c r="H55"/>
  <c r="O55" s="1"/>
  <c r="H50"/>
  <c r="O50" s="1"/>
  <c r="E49"/>
  <c r="E46" s="1"/>
  <c r="N16"/>
  <c r="M16"/>
  <c r="L16"/>
  <c r="E19"/>
  <c r="H39"/>
  <c r="L12" l="1"/>
  <c r="N166" i="5"/>
  <c r="M166"/>
  <c r="L166"/>
  <c r="K166"/>
  <c r="J166"/>
  <c r="I166"/>
  <c r="H166"/>
  <c r="G166"/>
  <c r="F166"/>
  <c r="E166"/>
  <c r="N165"/>
  <c r="M165"/>
  <c r="L165"/>
  <c r="K165"/>
  <c r="J165"/>
  <c r="G165"/>
  <c r="F165"/>
  <c r="L164"/>
  <c r="K164"/>
  <c r="J164"/>
  <c r="I164"/>
  <c r="G164"/>
  <c r="F164"/>
  <c r="K163"/>
  <c r="J163"/>
  <c r="I163"/>
  <c r="G163"/>
  <c r="F163"/>
  <c r="N162"/>
  <c r="M162"/>
  <c r="L162"/>
  <c r="K162"/>
  <c r="J162"/>
  <c r="I162"/>
  <c r="G162"/>
  <c r="E162"/>
  <c r="N161"/>
  <c r="M161"/>
  <c r="K161"/>
  <c r="G161"/>
  <c r="E161"/>
  <c r="N160"/>
  <c r="M160"/>
  <c r="L160"/>
  <c r="K160"/>
  <c r="J160"/>
  <c r="I160"/>
  <c r="G160"/>
  <c r="K159"/>
  <c r="J159"/>
  <c r="I159"/>
  <c r="G159"/>
  <c r="F159"/>
  <c r="E159"/>
  <c r="K158"/>
  <c r="I158"/>
  <c r="E158"/>
  <c r="K157"/>
  <c r="J157"/>
  <c r="H154"/>
  <c r="O144"/>
  <c r="O166" s="1"/>
  <c r="E143"/>
  <c r="E165" s="1"/>
  <c r="N142"/>
  <c r="N157" s="1"/>
  <c r="M142"/>
  <c r="M157" s="1"/>
  <c r="L142"/>
  <c r="L140" s="1"/>
  <c r="E142"/>
  <c r="H141"/>
  <c r="F141"/>
  <c r="F140" s="1"/>
  <c r="F139" s="1"/>
  <c r="E141"/>
  <c r="K140"/>
  <c r="J140"/>
  <c r="J139" s="1"/>
  <c r="I140"/>
  <c r="G140"/>
  <c r="G139" s="1"/>
  <c r="K139"/>
  <c r="I139"/>
  <c r="O138"/>
  <c r="O137"/>
  <c r="H137"/>
  <c r="H136"/>
  <c r="O136" s="1"/>
  <c r="O135"/>
  <c r="O134"/>
  <c r="F134"/>
  <c r="N133"/>
  <c r="N132" s="1"/>
  <c r="M133"/>
  <c r="M132" s="1"/>
  <c r="L133"/>
  <c r="L132" s="1"/>
  <c r="K133"/>
  <c r="K132" s="1"/>
  <c r="J133"/>
  <c r="I133"/>
  <c r="H133" s="1"/>
  <c r="G133"/>
  <c r="F133"/>
  <c r="F132" s="1"/>
  <c r="E133"/>
  <c r="E132" s="1"/>
  <c r="J132"/>
  <c r="G132"/>
  <c r="H131"/>
  <c r="O131" s="1"/>
  <c r="F131"/>
  <c r="F130" s="1"/>
  <c r="F129" s="1"/>
  <c r="N130"/>
  <c r="M130"/>
  <c r="M129" s="1"/>
  <c r="L130"/>
  <c r="H130" s="1"/>
  <c r="E130"/>
  <c r="N129"/>
  <c r="K129"/>
  <c r="J129"/>
  <c r="I129"/>
  <c r="G129"/>
  <c r="E129"/>
  <c r="O128"/>
  <c r="H128"/>
  <c r="N127"/>
  <c r="N164" s="1"/>
  <c r="M127"/>
  <c r="M164" s="1"/>
  <c r="L127"/>
  <c r="L124" s="1"/>
  <c r="H126"/>
  <c r="O126" s="1"/>
  <c r="O125"/>
  <c r="H125"/>
  <c r="F125"/>
  <c r="N124"/>
  <c r="M124"/>
  <c r="M123" s="1"/>
  <c r="K124"/>
  <c r="K123" s="1"/>
  <c r="J124"/>
  <c r="J123" s="1"/>
  <c r="I124"/>
  <c r="G124"/>
  <c r="G123" s="1"/>
  <c r="F124"/>
  <c r="F123" s="1"/>
  <c r="E124"/>
  <c r="N123"/>
  <c r="I123"/>
  <c r="H122"/>
  <c r="O122" s="1"/>
  <c r="H121"/>
  <c r="O121" s="1"/>
  <c r="L120"/>
  <c r="H120"/>
  <c r="E120"/>
  <c r="E110" s="1"/>
  <c r="H119"/>
  <c r="O119" s="1"/>
  <c r="H118"/>
  <c r="N117"/>
  <c r="M117"/>
  <c r="M110" s="1"/>
  <c r="M109" s="1"/>
  <c r="L117"/>
  <c r="H117" s="1"/>
  <c r="E117"/>
  <c r="H116"/>
  <c r="O116" s="1"/>
  <c r="O115"/>
  <c r="H115"/>
  <c r="H114"/>
  <c r="O114" s="1"/>
  <c r="N113"/>
  <c r="N110" s="1"/>
  <c r="N109" s="1"/>
  <c r="M113"/>
  <c r="L113"/>
  <c r="L163" s="1"/>
  <c r="H113"/>
  <c r="O113" s="1"/>
  <c r="O112"/>
  <c r="H111"/>
  <c r="O111" s="1"/>
  <c r="F111"/>
  <c r="F110" s="1"/>
  <c r="F109" s="1"/>
  <c r="L110"/>
  <c r="L109" s="1"/>
  <c r="K110"/>
  <c r="K109" s="1"/>
  <c r="J110"/>
  <c r="J109" s="1"/>
  <c r="I110"/>
  <c r="I109" s="1"/>
  <c r="G110"/>
  <c r="G109" s="1"/>
  <c r="O108"/>
  <c r="O107"/>
  <c r="O106"/>
  <c r="O105"/>
  <c r="O104"/>
  <c r="H102"/>
  <c r="O102" s="1"/>
  <c r="F102"/>
  <c r="F101" s="1"/>
  <c r="F100" s="1"/>
  <c r="N101"/>
  <c r="N100" s="1"/>
  <c r="M101"/>
  <c r="L101"/>
  <c r="L100" s="1"/>
  <c r="K101"/>
  <c r="J101"/>
  <c r="J100" s="1"/>
  <c r="I101"/>
  <c r="I100" s="1"/>
  <c r="H101"/>
  <c r="H100" s="1"/>
  <c r="G101"/>
  <c r="G100" s="1"/>
  <c r="E101"/>
  <c r="E100" s="1"/>
  <c r="O100" s="1"/>
  <c r="M100"/>
  <c r="K100"/>
  <c r="O99"/>
  <c r="H98"/>
  <c r="O98" s="1"/>
  <c r="L97"/>
  <c r="H97" s="1"/>
  <c r="O97" s="1"/>
  <c r="J97"/>
  <c r="J161" s="1"/>
  <c r="I97"/>
  <c r="I161" s="1"/>
  <c r="F97"/>
  <c r="H96"/>
  <c r="O96" s="1"/>
  <c r="F96"/>
  <c r="L95"/>
  <c r="L161" s="1"/>
  <c r="F95"/>
  <c r="J94"/>
  <c r="J158" s="1"/>
  <c r="H94"/>
  <c r="O94" s="1"/>
  <c r="F94"/>
  <c r="O93"/>
  <c r="F93"/>
  <c r="F92" s="1"/>
  <c r="F91" s="1"/>
  <c r="N92"/>
  <c r="N91" s="1"/>
  <c r="M92"/>
  <c r="M91" s="1"/>
  <c r="K92"/>
  <c r="K91" s="1"/>
  <c r="G92"/>
  <c r="G91" s="1"/>
  <c r="E92"/>
  <c r="E91" s="1"/>
  <c r="O90"/>
  <c r="O89"/>
  <c r="H88"/>
  <c r="O88" s="1"/>
  <c r="F88"/>
  <c r="F87" s="1"/>
  <c r="F86" s="1"/>
  <c r="N87"/>
  <c r="N86" s="1"/>
  <c r="M87"/>
  <c r="L87"/>
  <c r="L86" s="1"/>
  <c r="K87"/>
  <c r="K86" s="1"/>
  <c r="J87"/>
  <c r="J86" s="1"/>
  <c r="I87"/>
  <c r="I86" s="1"/>
  <c r="E87"/>
  <c r="E86" s="1"/>
  <c r="M86"/>
  <c r="O85"/>
  <c r="E84"/>
  <c r="O84" s="1"/>
  <c r="O83"/>
  <c r="F81"/>
  <c r="E81"/>
  <c r="O81" s="1"/>
  <c r="H80"/>
  <c r="O80" s="1"/>
  <c r="F80"/>
  <c r="F160" s="1"/>
  <c r="O79"/>
  <c r="O78"/>
  <c r="O77"/>
  <c r="O76"/>
  <c r="O75"/>
  <c r="O74"/>
  <c r="O73"/>
  <c r="E72"/>
  <c r="O72" s="1"/>
  <c r="O71"/>
  <c r="O70"/>
  <c r="O69"/>
  <c r="O68"/>
  <c r="O67"/>
  <c r="O66"/>
  <c r="O65"/>
  <c r="O64"/>
  <c r="H63"/>
  <c r="O63" s="1"/>
  <c r="F63"/>
  <c r="N62"/>
  <c r="M62"/>
  <c r="M61" s="1"/>
  <c r="L62"/>
  <c r="L61" s="1"/>
  <c r="K62"/>
  <c r="K61" s="1"/>
  <c r="J62"/>
  <c r="I62"/>
  <c r="I61" s="1"/>
  <c r="G62"/>
  <c r="G61" s="1"/>
  <c r="N61"/>
  <c r="J61"/>
  <c r="H60"/>
  <c r="H162" s="1"/>
  <c r="F60"/>
  <c r="F162" s="1"/>
  <c r="O59"/>
  <c r="H59"/>
  <c r="H58"/>
  <c r="O58" s="1"/>
  <c r="H56"/>
  <c r="G56"/>
  <c r="G158" s="1"/>
  <c r="F56"/>
  <c r="E56"/>
  <c r="H55"/>
  <c r="O55" s="1"/>
  <c r="F55"/>
  <c r="E55"/>
  <c r="H54"/>
  <c r="O54" s="1"/>
  <c r="L53"/>
  <c r="H53" s="1"/>
  <c r="O53" s="1"/>
  <c r="F53"/>
  <c r="H52"/>
  <c r="O52" s="1"/>
  <c r="O51"/>
  <c r="H51"/>
  <c r="F51"/>
  <c r="H50"/>
  <c r="O50" s="1"/>
  <c r="H49"/>
  <c r="O49" s="1"/>
  <c r="F49"/>
  <c r="H48"/>
  <c r="O48" s="1"/>
  <c r="N47"/>
  <c r="M47"/>
  <c r="L47"/>
  <c r="H47"/>
  <c r="O47" s="1"/>
  <c r="F47"/>
  <c r="N46"/>
  <c r="N44" s="1"/>
  <c r="N43" s="1"/>
  <c r="M46"/>
  <c r="M158" s="1"/>
  <c r="L46"/>
  <c r="H46" s="1"/>
  <c r="F46"/>
  <c r="H45"/>
  <c r="O45" s="1"/>
  <c r="F45"/>
  <c r="F44" s="1"/>
  <c r="F43" s="1"/>
  <c r="K44"/>
  <c r="J44"/>
  <c r="J43" s="1"/>
  <c r="I44"/>
  <c r="I43" s="1"/>
  <c r="E44"/>
  <c r="E43" s="1"/>
  <c r="K43"/>
  <c r="E42"/>
  <c r="O42" s="1"/>
  <c r="H41"/>
  <c r="O41" s="1"/>
  <c r="F41"/>
  <c r="N40"/>
  <c r="M40"/>
  <c r="M39" s="1"/>
  <c r="L40"/>
  <c r="L39" s="1"/>
  <c r="K40"/>
  <c r="K39" s="1"/>
  <c r="J40"/>
  <c r="J39" s="1"/>
  <c r="I40"/>
  <c r="I39" s="1"/>
  <c r="H40"/>
  <c r="H39" s="1"/>
  <c r="G40"/>
  <c r="F40"/>
  <c r="E40"/>
  <c r="N39"/>
  <c r="G39"/>
  <c r="F39"/>
  <c r="E38"/>
  <c r="O38" s="1"/>
  <c r="O37"/>
  <c r="F37"/>
  <c r="F36" s="1"/>
  <c r="F35" s="1"/>
  <c r="O36"/>
  <c r="N36"/>
  <c r="M36"/>
  <c r="M35" s="1"/>
  <c r="L36"/>
  <c r="L35" s="1"/>
  <c r="K36"/>
  <c r="K35" s="1"/>
  <c r="J36"/>
  <c r="I36"/>
  <c r="I35" s="1"/>
  <c r="H36"/>
  <c r="H35" s="1"/>
  <c r="G36"/>
  <c r="G35" s="1"/>
  <c r="E36"/>
  <c r="E35" s="1"/>
  <c r="N35"/>
  <c r="J35"/>
  <c r="H34"/>
  <c r="E34"/>
  <c r="O34" s="1"/>
  <c r="H33"/>
  <c r="O33" s="1"/>
  <c r="F33"/>
  <c r="N32"/>
  <c r="N31" s="1"/>
  <c r="M32"/>
  <c r="L32"/>
  <c r="L31" s="1"/>
  <c r="I32"/>
  <c r="G32"/>
  <c r="G31" s="1"/>
  <c r="F32"/>
  <c r="F31" s="1"/>
  <c r="M31"/>
  <c r="O30"/>
  <c r="I29"/>
  <c r="I165" s="1"/>
  <c r="O28"/>
  <c r="O27"/>
  <c r="O26"/>
  <c r="O25"/>
  <c r="E24"/>
  <c r="O24" s="1"/>
  <c r="O23"/>
  <c r="O22"/>
  <c r="O21"/>
  <c r="O20"/>
  <c r="H20"/>
  <c r="N19"/>
  <c r="N159" s="1"/>
  <c r="M19"/>
  <c r="M15" s="1"/>
  <c r="M14" s="1"/>
  <c r="L19"/>
  <c r="L159" s="1"/>
  <c r="O18"/>
  <c r="O17"/>
  <c r="L16"/>
  <c r="L157" s="1"/>
  <c r="I16"/>
  <c r="H16" s="1"/>
  <c r="G16"/>
  <c r="G15" s="1"/>
  <c r="G14" s="1"/>
  <c r="F16"/>
  <c r="E16"/>
  <c r="E157" s="1"/>
  <c r="K15"/>
  <c r="J15"/>
  <c r="J14" s="1"/>
  <c r="F15"/>
  <c r="F14" s="1"/>
  <c r="K14"/>
  <c r="J12" i="4"/>
  <c r="K12"/>
  <c r="M12"/>
  <c r="N12"/>
  <c r="I12"/>
  <c r="H25"/>
  <c r="H165"/>
  <c r="N125"/>
  <c r="N116" s="1"/>
  <c r="M125"/>
  <c r="M116" s="1"/>
  <c r="L125"/>
  <c r="L116" s="1"/>
  <c r="O40" i="5" l="1"/>
  <c r="I157"/>
  <c r="O56"/>
  <c r="L92"/>
  <c r="L91" s="1"/>
  <c r="F161"/>
  <c r="H164"/>
  <c r="H127"/>
  <c r="O127" s="1"/>
  <c r="M140"/>
  <c r="M139" s="1"/>
  <c r="F157"/>
  <c r="M145"/>
  <c r="L129"/>
  <c r="N15"/>
  <c r="N14" s="1"/>
  <c r="H32"/>
  <c r="H31" s="1"/>
  <c r="O35"/>
  <c r="G44"/>
  <c r="G43" s="1"/>
  <c r="M44"/>
  <c r="M43" s="1"/>
  <c r="F158"/>
  <c r="O60"/>
  <c r="O162" s="1"/>
  <c r="F62"/>
  <c r="F61" s="1"/>
  <c r="F145" s="1"/>
  <c r="H95"/>
  <c r="H161" s="1"/>
  <c r="M163"/>
  <c r="O117"/>
  <c r="O163" s="1"/>
  <c r="O120"/>
  <c r="I132"/>
  <c r="O141"/>
  <c r="N163"/>
  <c r="E109"/>
  <c r="O133"/>
  <c r="O132" s="1"/>
  <c r="H132"/>
  <c r="H124"/>
  <c r="H123" s="1"/>
  <c r="L123"/>
  <c r="O160"/>
  <c r="O46"/>
  <c r="O158" s="1"/>
  <c r="H158"/>
  <c r="H129"/>
  <c r="O130"/>
  <c r="O129" s="1"/>
  <c r="L139"/>
  <c r="H140"/>
  <c r="H139" s="1"/>
  <c r="H157"/>
  <c r="K145"/>
  <c r="G145"/>
  <c r="H163"/>
  <c r="O124"/>
  <c r="O123" s="1"/>
  <c r="M159"/>
  <c r="I15"/>
  <c r="H19"/>
  <c r="H29"/>
  <c r="I31"/>
  <c r="H87"/>
  <c r="E164"/>
  <c r="N140"/>
  <c r="N139" s="1"/>
  <c r="N145" s="1"/>
  <c r="N158"/>
  <c r="H160"/>
  <c r="E123"/>
  <c r="E140"/>
  <c r="H142"/>
  <c r="O142" s="1"/>
  <c r="E39"/>
  <c r="O39" s="1"/>
  <c r="O16"/>
  <c r="O157" s="1"/>
  <c r="E32"/>
  <c r="J92"/>
  <c r="J91" s="1"/>
  <c r="J145" s="1"/>
  <c r="H110"/>
  <c r="H109" s="1"/>
  <c r="G157"/>
  <c r="L158"/>
  <c r="E163"/>
  <c r="H62"/>
  <c r="H61" s="1"/>
  <c r="O101"/>
  <c r="E15"/>
  <c r="I92"/>
  <c r="O95"/>
  <c r="O161" s="1"/>
  <c r="O143"/>
  <c r="E160"/>
  <c r="E153" s="1"/>
  <c r="L15"/>
  <c r="L14" s="1"/>
  <c r="L44"/>
  <c r="E62"/>
  <c r="O118"/>
  <c r="O164" s="1"/>
  <c r="E17" i="4"/>
  <c r="H19"/>
  <c r="H20"/>
  <c r="O20" s="1"/>
  <c r="H86" i="5" l="1"/>
  <c r="O87"/>
  <c r="O86" s="1"/>
  <c r="O62"/>
  <c r="E61"/>
  <c r="O61" s="1"/>
  <c r="E14"/>
  <c r="E31"/>
  <c r="O31" s="1"/>
  <c r="O32"/>
  <c r="H92"/>
  <c r="I91"/>
  <c r="O109"/>
  <c r="H44"/>
  <c r="L43"/>
  <c r="E139"/>
  <c r="O140"/>
  <c r="O139" s="1"/>
  <c r="O29"/>
  <c r="O165" s="1"/>
  <c r="H165"/>
  <c r="O110"/>
  <c r="H15"/>
  <c r="H14" s="1"/>
  <c r="I14"/>
  <c r="H159"/>
  <c r="O19"/>
  <c r="O159" s="1"/>
  <c r="L145"/>
  <c r="O19" i="4"/>
  <c r="H17"/>
  <c r="O17" s="1"/>
  <c r="O92" i="5" l="1"/>
  <c r="O91" s="1"/>
  <c r="H91"/>
  <c r="O14"/>
  <c r="E145"/>
  <c r="H43"/>
  <c r="O43" s="1"/>
  <c r="O44"/>
  <c r="I145"/>
  <c r="H145" s="1"/>
  <c r="O15"/>
  <c r="E12" i="4"/>
  <c r="O25"/>
  <c r="J116"/>
  <c r="K116"/>
  <c r="I116"/>
  <c r="J157"/>
  <c r="K157"/>
  <c r="I157"/>
  <c r="F157"/>
  <c r="G157"/>
  <c r="O165"/>
  <c r="J142"/>
  <c r="K142"/>
  <c r="L142"/>
  <c r="M142"/>
  <c r="N142"/>
  <c r="I142"/>
  <c r="F142"/>
  <c r="G142"/>
  <c r="E142"/>
  <c r="H145"/>
  <c r="O145" s="1"/>
  <c r="H123"/>
  <c r="O123" s="1"/>
  <c r="H124"/>
  <c r="O124" s="1"/>
  <c r="N103"/>
  <c r="M103"/>
  <c r="L103"/>
  <c r="N102"/>
  <c r="M102"/>
  <c r="L102"/>
  <c r="H144"/>
  <c r="O144" s="1"/>
  <c r="E108"/>
  <c r="E107" s="1"/>
  <c r="E98"/>
  <c r="J107"/>
  <c r="K107"/>
  <c r="L107"/>
  <c r="M107"/>
  <c r="N107"/>
  <c r="I107"/>
  <c r="G107"/>
  <c r="J67"/>
  <c r="K67"/>
  <c r="L67"/>
  <c r="M67"/>
  <c r="N67"/>
  <c r="I67"/>
  <c r="G67"/>
  <c r="J46"/>
  <c r="K46"/>
  <c r="I46"/>
  <c r="O105"/>
  <c r="K98"/>
  <c r="N98"/>
  <c r="G98"/>
  <c r="H133"/>
  <c r="O133" s="1"/>
  <c r="M98" l="1"/>
  <c r="O145" i="5"/>
  <c r="H107" i="4"/>
  <c r="O23" l="1"/>
  <c r="O22"/>
  <c r="G116" l="1"/>
  <c r="H130" l="1"/>
  <c r="O130" s="1"/>
  <c r="O29"/>
  <c r="O32"/>
  <c r="G135"/>
  <c r="E135"/>
  <c r="O30"/>
  <c r="O118" l="1"/>
  <c r="J147" l="1"/>
  <c r="K147"/>
  <c r="L147"/>
  <c r="M147"/>
  <c r="N147"/>
  <c r="I147"/>
  <c r="G147"/>
  <c r="E147"/>
  <c r="H151"/>
  <c r="O151" s="1"/>
  <c r="H120"/>
  <c r="O120" s="1"/>
  <c r="H121"/>
  <c r="O121" s="1"/>
  <c r="H122"/>
  <c r="O122" s="1"/>
  <c r="L98" l="1"/>
  <c r="O15"/>
  <c r="O26" l="1"/>
  <c r="H31" l="1"/>
  <c r="H117"/>
  <c r="H119"/>
  <c r="H125"/>
  <c r="H132"/>
  <c r="H131"/>
  <c r="H116"/>
  <c r="H86"/>
  <c r="H68"/>
  <c r="O28"/>
  <c r="O14"/>
  <c r="O86" l="1"/>
  <c r="O89"/>
  <c r="O90"/>
  <c r="O149" l="1"/>
  <c r="J146"/>
  <c r="K146"/>
  <c r="I146"/>
  <c r="H159"/>
  <c r="H47"/>
  <c r="H48"/>
  <c r="H49"/>
  <c r="H51"/>
  <c r="H52"/>
  <c r="H53"/>
  <c r="H54"/>
  <c r="H56"/>
  <c r="H57"/>
  <c r="H58"/>
  <c r="H59"/>
  <c r="H60"/>
  <c r="H62"/>
  <c r="H63"/>
  <c r="H64"/>
  <c r="H147" l="1"/>
  <c r="H150" l="1"/>
  <c r="O150" s="1"/>
  <c r="G146"/>
  <c r="H100"/>
  <c r="H101"/>
  <c r="H102"/>
  <c r="H104"/>
  <c r="I98" l="1"/>
  <c r="H98" s="1"/>
  <c r="J98"/>
  <c r="O100"/>
  <c r="H103"/>
  <c r="H43" l="1"/>
  <c r="H42" s="1"/>
  <c r="I42"/>
  <c r="J42"/>
  <c r="J41" s="1"/>
  <c r="K42"/>
  <c r="K41" s="1"/>
  <c r="L42"/>
  <c r="L41" s="1"/>
  <c r="M42"/>
  <c r="M41" s="1"/>
  <c r="N42"/>
  <c r="N41" s="1"/>
  <c r="I106" l="1"/>
  <c r="J106"/>
  <c r="K106"/>
  <c r="J93"/>
  <c r="J92" s="1"/>
  <c r="K93"/>
  <c r="K92" s="1"/>
  <c r="L93"/>
  <c r="L92" s="1"/>
  <c r="M93"/>
  <c r="M92" s="1"/>
  <c r="N93"/>
  <c r="N92" s="1"/>
  <c r="I93"/>
  <c r="I92" s="1"/>
  <c r="H94"/>
  <c r="F135"/>
  <c r="H140"/>
  <c r="H137"/>
  <c r="O137" s="1"/>
  <c r="H138"/>
  <c r="O138" l="1"/>
  <c r="O140"/>
  <c r="H93"/>
  <c r="H92" s="1"/>
  <c r="G46" l="1"/>
  <c r="F147"/>
  <c r="F116"/>
  <c r="F107"/>
  <c r="E11" l="1"/>
  <c r="F98"/>
  <c r="F67" l="1"/>
  <c r="O114"/>
  <c r="O113"/>
  <c r="O112"/>
  <c r="O111"/>
  <c r="O110"/>
  <c r="N106"/>
  <c r="M106"/>
  <c r="L106"/>
  <c r="F106"/>
  <c r="G106"/>
  <c r="F46" l="1"/>
  <c r="H108"/>
  <c r="H106" s="1"/>
  <c r="F12" l="1"/>
  <c r="F11" s="1"/>
  <c r="G12"/>
  <c r="G11" s="1"/>
  <c r="O107"/>
  <c r="O108"/>
  <c r="E106" l="1"/>
  <c r="O106" s="1"/>
  <c r="K11" l="1"/>
  <c r="N11" l="1"/>
  <c r="M11"/>
  <c r="L11"/>
  <c r="I38" l="1"/>
  <c r="I37" s="1"/>
  <c r="J38"/>
  <c r="J37" s="1"/>
  <c r="K38"/>
  <c r="K37" s="1"/>
  <c r="L38"/>
  <c r="L37" s="1"/>
  <c r="M38"/>
  <c r="M37" s="1"/>
  <c r="N38"/>
  <c r="N37" s="1"/>
  <c r="H38"/>
  <c r="H37" s="1"/>
  <c r="I11" l="1"/>
  <c r="H12" l="1"/>
  <c r="O31"/>
  <c r="O161"/>
  <c r="O160"/>
  <c r="O159"/>
  <c r="N156"/>
  <c r="M156"/>
  <c r="H158"/>
  <c r="O158" s="1"/>
  <c r="F156"/>
  <c r="E156"/>
  <c r="K156"/>
  <c r="J156"/>
  <c r="I156"/>
  <c r="G156"/>
  <c r="N141"/>
  <c r="M141"/>
  <c r="H143"/>
  <c r="O143" s="1"/>
  <c r="F141"/>
  <c r="K141"/>
  <c r="J141"/>
  <c r="I141"/>
  <c r="G141"/>
  <c r="N134"/>
  <c r="M134"/>
  <c r="I134"/>
  <c r="F134"/>
  <c r="E134"/>
  <c r="K134"/>
  <c r="J134"/>
  <c r="G134"/>
  <c r="O152"/>
  <c r="E146"/>
  <c r="F146"/>
  <c r="O131"/>
  <c r="K115"/>
  <c r="J115"/>
  <c r="I115"/>
  <c r="G115"/>
  <c r="F115"/>
  <c r="O104"/>
  <c r="O99"/>
  <c r="J97"/>
  <c r="I97"/>
  <c r="G97"/>
  <c r="K97"/>
  <c r="O96"/>
  <c r="O95"/>
  <c r="O94"/>
  <c r="F93"/>
  <c r="F92" s="1"/>
  <c r="E93"/>
  <c r="O93" s="1"/>
  <c r="O92" s="1"/>
  <c r="O91"/>
  <c r="O87"/>
  <c r="O63"/>
  <c r="O62"/>
  <c r="O60"/>
  <c r="O58"/>
  <c r="O56"/>
  <c r="O53"/>
  <c r="O52"/>
  <c r="O51"/>
  <c r="O47"/>
  <c r="K45"/>
  <c r="J45"/>
  <c r="G45"/>
  <c r="O44"/>
  <c r="O43"/>
  <c r="E42"/>
  <c r="I41"/>
  <c r="G42"/>
  <c r="G41" s="1"/>
  <c r="F42"/>
  <c r="F41" s="1"/>
  <c r="O40"/>
  <c r="F38"/>
  <c r="F37" s="1"/>
  <c r="E38"/>
  <c r="G38"/>
  <c r="G37" s="1"/>
  <c r="H36"/>
  <c r="H35"/>
  <c r="F34"/>
  <c r="F33" s="1"/>
  <c r="N34"/>
  <c r="N33" s="1"/>
  <c r="M34"/>
  <c r="M33" s="1"/>
  <c r="L34"/>
  <c r="L33" s="1"/>
  <c r="I34"/>
  <c r="I33" s="1"/>
  <c r="G34"/>
  <c r="E34"/>
  <c r="O27"/>
  <c r="O24"/>
  <c r="J11"/>
  <c r="H13"/>
  <c r="H11" l="1"/>
  <c r="O12"/>
  <c r="O36"/>
  <c r="K66"/>
  <c r="M66"/>
  <c r="J66"/>
  <c r="J170" s="1"/>
  <c r="H67"/>
  <c r="O67" s="1"/>
  <c r="G66"/>
  <c r="F66"/>
  <c r="N66"/>
  <c r="I66"/>
  <c r="L66"/>
  <c r="O68"/>
  <c r="I45"/>
  <c r="M146"/>
  <c r="M97"/>
  <c r="L146"/>
  <c r="O132"/>
  <c r="N45"/>
  <c r="F97"/>
  <c r="H41"/>
  <c r="O64"/>
  <c r="H157"/>
  <c r="H156" s="1"/>
  <c r="M45"/>
  <c r="N115"/>
  <c r="O117"/>
  <c r="O125"/>
  <c r="O102"/>
  <c r="E45"/>
  <c r="O59"/>
  <c r="H21"/>
  <c r="O21" s="1"/>
  <c r="L45"/>
  <c r="L134"/>
  <c r="E141"/>
  <c r="F45"/>
  <c r="O101"/>
  <c r="O54"/>
  <c r="O35"/>
  <c r="E92"/>
  <c r="O119"/>
  <c r="N146"/>
  <c r="O13"/>
  <c r="N97"/>
  <c r="O103"/>
  <c r="H34"/>
  <c r="H33" s="1"/>
  <c r="E41"/>
  <c r="O38"/>
  <c r="E37"/>
  <c r="O37" s="1"/>
  <c r="O48"/>
  <c r="G33"/>
  <c r="O39"/>
  <c r="O57"/>
  <c r="H136"/>
  <c r="O136" s="1"/>
  <c r="O49"/>
  <c r="E33"/>
  <c r="E97"/>
  <c r="H16"/>
  <c r="N170" l="1"/>
  <c r="E66"/>
  <c r="H66"/>
  <c r="K170"/>
  <c r="G170"/>
  <c r="I170"/>
  <c r="F170"/>
  <c r="H46"/>
  <c r="H97"/>
  <c r="O16"/>
  <c r="L156"/>
  <c r="O157"/>
  <c r="O156" s="1"/>
  <c r="O41"/>
  <c r="O42"/>
  <c r="H135"/>
  <c r="H134" s="1"/>
  <c r="L115"/>
  <c r="O148"/>
  <c r="L141"/>
  <c r="H142"/>
  <c r="H115"/>
  <c r="L97"/>
  <c r="O33"/>
  <c r="O98"/>
  <c r="O97" s="1"/>
  <c r="O34"/>
  <c r="E115"/>
  <c r="L170" l="1"/>
  <c r="H170" s="1"/>
  <c r="E170"/>
  <c r="M115"/>
  <c r="M170" s="1"/>
  <c r="O66"/>
  <c r="O135"/>
  <c r="O134" s="1"/>
  <c r="O147"/>
  <c r="O146" s="1"/>
  <c r="H146"/>
  <c r="H45"/>
  <c r="O46"/>
  <c r="H141"/>
  <c r="O142"/>
  <c r="O141" s="1"/>
  <c r="O115"/>
  <c r="O116"/>
  <c r="O11"/>
  <c r="O45" l="1"/>
  <c r="O170"/>
</calcChain>
</file>

<file path=xl/comments1.xml><?xml version="1.0" encoding="utf-8"?>
<comments xmlns="http://schemas.openxmlformats.org/spreadsheetml/2006/main">
  <authors>
    <author>User</author>
  </authors>
  <commentList>
    <comment ref="E17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sharedStrings.xml><?xml version="1.0" encoding="utf-8"?>
<sst xmlns="http://schemas.openxmlformats.org/spreadsheetml/2006/main" count="2173" uniqueCount="454">
  <si>
    <t>(тис.грн.)</t>
  </si>
  <si>
    <t>Видатки загального фонду</t>
  </si>
  <si>
    <t>Всього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</si>
  <si>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</si>
  <si>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</si>
  <si>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</si>
  <si>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</si>
  <si>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</si>
  <si>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</si>
  <si>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</si>
  <si>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</si>
  <si>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</si>
  <si>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Резервний фонд </t>
  </si>
  <si>
    <t>Реверсна дотація</t>
  </si>
  <si>
    <t>Відділ освіти Чорноморської  міської ради Одеської області</t>
  </si>
  <si>
    <t>Відділ  культури Чорноморської міської ради  Одеської області</t>
  </si>
  <si>
    <t>Фінансове управління Чорноморської міської ради Одеської області</t>
  </si>
  <si>
    <t>Бурлачобалківська сільська адміністрація Чорноморської міської ради Одеської області</t>
  </si>
  <si>
    <t>Відділ у справах сім`ї , молоді та спорту Чорноморської  міської ради Одеської області</t>
  </si>
  <si>
    <t>Малодолинська сільська адміністрація Чорноморської міської ради Одеської області</t>
  </si>
  <si>
    <t>Управління соціальної політики Чорноморської  міської ради Одеської області</t>
  </si>
  <si>
    <t>Служба у справах дітей Чорноморської  міської ради  Одеської області</t>
  </si>
  <si>
    <t>Відділ комунального господарства і благоустрою Чорноморської  міської ради Одеської області</t>
  </si>
  <si>
    <t>Управління комунальної  власності  та земельних відносин Чорноморської  міської ради Одеської області</t>
  </si>
  <si>
    <t>Управління архітектури та містобудування Чорноморської  міської ради Одеської області</t>
  </si>
  <si>
    <t>Виконавчий комітет Чорноморської міської ради Одеської області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</si>
  <si>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</si>
  <si>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Управління капітального будівництва Чорноморської міської ради Одеської області</t>
  </si>
  <si>
    <t>Код програмної класифікації видатків та кредитування місцевих бюджетів</t>
  </si>
  <si>
    <t>Код ТПКВКМБ /
ТКВКБМС</t>
  </si>
  <si>
    <t>15=5+8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</si>
  <si>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</si>
  <si>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0111</t>
  </si>
  <si>
    <t>1090</t>
  </si>
  <si>
    <t>0830</t>
  </si>
  <si>
    <t>0411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</si>
  <si>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</si>
  <si>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</si>
  <si>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</si>
  <si>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</si>
  <si>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</si>
  <si>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</si>
  <si>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</si>
  <si>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</si>
  <si>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</si>
  <si>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</si>
  <si>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</si>
  <si>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</si>
  <si>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освiти вечiрнiми (змiнними) школами</t>
  </si>
  <si>
    <t>0922</t>
  </si>
  <si>
    <t>0960</t>
  </si>
  <si>
    <t>Надання позашкільної освіти позашкільними закладами освіти, заходи із позашкільної роботи з дітьми</t>
  </si>
  <si>
    <t>0950</t>
  </si>
  <si>
    <t>0990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</si>
  <si>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</si>
  <si>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</si>
  <si>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</si>
  <si>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</si>
  <si>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</si>
  <si>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</si>
  <si>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</si>
  <si>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3140</t>
  </si>
  <si>
    <t>1113140</t>
  </si>
  <si>
    <t>Заходи державної політики з питань сім'ї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</si>
  <si>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</si>
  <si>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</si>
  <si>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</si>
  <si>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</si>
  <si>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</si>
  <si>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</si>
  <si>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</si>
  <si>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</si>
  <si>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3011</t>
  </si>
  <si>
    <t>3021</t>
  </si>
  <si>
    <t>3031</t>
  </si>
  <si>
    <t>3012</t>
  </si>
  <si>
    <t>1070</t>
  </si>
  <si>
    <t>Надання пільг окремим категоріям громадян з оплати послуг зв'язку</t>
  </si>
  <si>
    <t>3041</t>
  </si>
  <si>
    <t>Надання допомоги у зв`язку з вагітністю і пологами </t>
  </si>
  <si>
    <t>3042</t>
  </si>
  <si>
    <t>3043</t>
  </si>
  <si>
    <t>Надання допомоги при народженні дитини </t>
  </si>
  <si>
    <t>3044</t>
  </si>
  <si>
    <t>Надання допомоги на дітей, над якими встановлено опіку чи піклування </t>
  </si>
  <si>
    <t>3046</t>
  </si>
  <si>
    <t>Надання допомоги на дітей одиноким матерям </t>
  </si>
  <si>
    <t>3045</t>
  </si>
  <si>
    <t>3047</t>
  </si>
  <si>
    <t>Надання допомоги при усиновленні дитини </t>
  </si>
  <si>
    <t>Надання державної  соціальної  допомоги  малозабезпеченим сім`ям 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</si>
  <si>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</si>
  <si>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</si>
  <si>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3112</t>
  </si>
  <si>
    <t>4060</t>
  </si>
  <si>
    <t>0824</t>
  </si>
  <si>
    <t>0828</t>
  </si>
  <si>
    <t>0829</t>
  </si>
  <si>
    <t>0610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</si>
  <si>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</si>
  <si>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</si>
  <si>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</si>
  <si>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</si>
  <si>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</si>
  <si>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</si>
  <si>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</si>
  <si>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</si>
  <si>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</si>
  <si>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Секретар ради</t>
  </si>
  <si>
    <t>О. Р. Боровська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</si>
  <si>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</si>
  <si>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</si>
  <si>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</si>
  <si>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</si>
  <si>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</si>
  <si>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0421</t>
  </si>
  <si>
    <t>Надання тимчасової  державної допомоги  дітям 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</si>
  <si>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</si>
  <si>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</si>
  <si>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</si>
  <si>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Cтоматологічна допомога населенню</t>
  </si>
  <si>
    <t>Організація благоустрою  населених пунктів</t>
  </si>
  <si>
    <t>0600000</t>
  </si>
  <si>
    <t>0610000</t>
  </si>
  <si>
    <t>0160</t>
  </si>
  <si>
    <t>0610160</t>
  </si>
  <si>
    <t>Керівництво і управління у відповідній сфері у містах (місті Києві), селищах, селах, об'єднаних територіальних громадах</t>
  </si>
  <si>
    <t>0611010</t>
  </si>
  <si>
    <t>Надання дошкільної освіти</t>
  </si>
  <si>
    <t>0611020</t>
  </si>
  <si>
    <t>0611030</t>
  </si>
  <si>
    <t>0611070</t>
  </si>
  <si>
    <t>0611090</t>
  </si>
  <si>
    <t>1140</t>
  </si>
  <si>
    <t>Підвищення кваліфікації, перепідготовка кадрів  закладами післядипломної освіти</t>
  </si>
  <si>
    <t>0611140</t>
  </si>
  <si>
    <t>0613140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</si>
  <si>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</si>
  <si>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</si>
  <si>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</si>
  <si>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</si>
  <si>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</si>
  <si>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</si>
  <si>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</si>
  <si>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</si>
  <si>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</si>
  <si>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</si>
  <si>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</si>
  <si>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</si>
  <si>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</si>
  <si>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1150</t>
  </si>
  <si>
    <t>0611150</t>
  </si>
  <si>
    <t xml:space="preserve">Методичне забезпечення діяльності навчальних закладів </t>
  </si>
  <si>
    <t>0900000</t>
  </si>
  <si>
    <t>0910000</t>
  </si>
  <si>
    <t>0910160</t>
  </si>
  <si>
    <t>0913112</t>
  </si>
  <si>
    <t>0913140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</si>
  <si>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</si>
  <si>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</si>
  <si>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</si>
  <si>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</si>
  <si>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</si>
  <si>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</si>
  <si>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</si>
  <si>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</si>
  <si>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</si>
  <si>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</si>
  <si>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</si>
  <si>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1100</t>
  </si>
  <si>
    <t>1011100</t>
  </si>
  <si>
    <t>Надання спеціальної освіти школами естетичного виховання (музичними, художніми, хореографічними, театральними, хоровими мистецькими)</t>
  </si>
  <si>
    <t>1110160</t>
  </si>
  <si>
    <t>3123</t>
  </si>
  <si>
    <t>1113123</t>
  </si>
  <si>
    <t>3133</t>
  </si>
  <si>
    <t>1113133</t>
  </si>
  <si>
    <t>1200000</t>
  </si>
  <si>
    <t>1210000</t>
  </si>
  <si>
    <t>1210160</t>
  </si>
  <si>
    <t>1216030</t>
  </si>
  <si>
    <t>1600000</t>
  </si>
  <si>
    <t>1610000</t>
  </si>
  <si>
    <t>1610160</t>
  </si>
  <si>
    <t>1510160</t>
  </si>
  <si>
    <t>3100000</t>
  </si>
  <si>
    <t>3110000</t>
  </si>
  <si>
    <t>3110160</t>
  </si>
  <si>
    <t>3700000</t>
  </si>
  <si>
    <t>3710000</t>
  </si>
  <si>
    <t>3710160</t>
  </si>
  <si>
    <t>8410</t>
  </si>
  <si>
    <t>0218410</t>
  </si>
  <si>
    <t>Фінансова підтримка засобів масової інформації</t>
  </si>
  <si>
    <t>8110</t>
  </si>
  <si>
    <t>0218110</t>
  </si>
  <si>
    <t>7640</t>
  </si>
  <si>
    <t>0217640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</si>
  <si>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</si>
  <si>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</si>
  <si>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</si>
  <si>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1216011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</si>
  <si>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</si>
  <si>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</si>
  <si>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</si>
  <si>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</si>
  <si>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</si>
  <si>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</si>
  <si>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7650</t>
  </si>
  <si>
    <t>3117650</t>
  </si>
  <si>
    <t>Проведення експертної грошової оцінки земельної ділянки чи права на неї</t>
  </si>
  <si>
    <t>7130</t>
  </si>
  <si>
    <t>3117130</t>
  </si>
  <si>
    <t>Здійснення заходів із землеустрою</t>
  </si>
  <si>
    <t>3710180</t>
  </si>
  <si>
    <t>9110</t>
  </si>
  <si>
    <t>3719110</t>
  </si>
  <si>
    <t>8700</t>
  </si>
  <si>
    <t>3718700</t>
  </si>
  <si>
    <t>Надання пільг  на  оплату житлово-комунальних  послуг окремим категоріям громадян відповідно до законодавства</t>
  </si>
  <si>
    <t>0813011</t>
  </si>
  <si>
    <t>0813012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</si>
  <si>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</si>
  <si>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0813021</t>
  </si>
  <si>
    <t>3022</t>
  </si>
  <si>
    <t>0813022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</si>
  <si>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</si>
  <si>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</si>
  <si>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</si>
  <si>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</si>
  <si>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0813041</t>
  </si>
  <si>
    <t>0813042</t>
  </si>
  <si>
    <t>0813043</t>
  </si>
  <si>
    <t>0813044</t>
  </si>
  <si>
    <t>0813045</t>
  </si>
  <si>
    <t>0813046</t>
  </si>
  <si>
    <t>0813047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</si>
  <si>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</si>
  <si>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</si>
  <si>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</si>
  <si>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</si>
  <si>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</si>
  <si>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</si>
  <si>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</si>
  <si>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7610</t>
  </si>
  <si>
    <t>0217610</t>
  </si>
  <si>
    <t>Сприяння розвитку малого та середнього підприємництва</t>
  </si>
  <si>
    <t>0210180</t>
  </si>
  <si>
    <t xml:space="preserve">Інша діяльність у сфері державного управління </t>
  </si>
  <si>
    <t>3104</t>
  </si>
  <si>
    <t>0813104</t>
  </si>
  <si>
    <t>Олександрівська селищна адміністрація Чорноморської міської ради Одеської області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</si>
  <si>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</si>
  <si>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</si>
  <si>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</si>
  <si>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</si>
  <si>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</si>
  <si>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</si>
  <si>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</si>
  <si>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1217640</t>
  </si>
  <si>
    <t>6012</t>
  </si>
  <si>
    <t>1216012</t>
  </si>
  <si>
    <t>Забезпечення діяльності з виробництва, транспортування, постачання теплової енергії</t>
  </si>
  <si>
    <t>7350</t>
  </si>
  <si>
    <t>1217350</t>
  </si>
  <si>
    <t>0443</t>
  </si>
  <si>
    <t>Розроблення схем планування та забудови територій (містобудівної документації)</t>
  </si>
  <si>
    <t>6082</t>
  </si>
  <si>
    <t>Придбання житла для окремих категорій населення відповідно до законодавства</t>
  </si>
  <si>
    <t>1516082</t>
  </si>
  <si>
    <t>8311</t>
  </si>
  <si>
    <t>1518311</t>
  </si>
  <si>
    <t xml:space="preserve">Охорона та раціональне використання природних ресурсів </t>
  </si>
  <si>
    <t>0511</t>
  </si>
  <si>
    <t>8340</t>
  </si>
  <si>
    <t>0218340</t>
  </si>
  <si>
    <t>2144</t>
  </si>
  <si>
    <t>0763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</si>
  <si>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</si>
  <si>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</si>
  <si>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</si>
  <si>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0212144</t>
  </si>
  <si>
    <t>0212146</t>
  </si>
  <si>
    <t>1218340</t>
  </si>
  <si>
    <t>1161</t>
  </si>
  <si>
    <t>0611161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</si>
  <si>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</si>
  <si>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</si>
  <si>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</si>
  <si>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</si>
  <si>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</si>
  <si>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7370</t>
  </si>
  <si>
    <t>1217370</t>
  </si>
  <si>
    <t>1517370</t>
  </si>
  <si>
    <t>3117370</t>
  </si>
  <si>
    <t>Природоохоронні заходи за рахунок цільових фондів</t>
  </si>
  <si>
    <t>7693</t>
  </si>
  <si>
    <t>0217693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</si>
  <si>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</si>
  <si>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</si>
  <si>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</si>
  <si>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</si>
  <si>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0813081</t>
  </si>
  <si>
    <t>0813083</t>
  </si>
  <si>
    <t>3081</t>
  </si>
  <si>
    <t>3083</t>
  </si>
  <si>
    <t>Надання державної соціальної допомоги особам з інвалідністю  з дитинства та дітям з інвалідністю</t>
  </si>
  <si>
    <t>Надання допомоги по  догляду за особами з інвалідністю    I чи II групи внаслідок психічного розладу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</si>
  <si>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</si>
  <si>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</si>
  <si>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</si>
  <si>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</si>
  <si>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</si>
  <si>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</si>
  <si>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</si>
  <si>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</si>
  <si>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</si>
  <si>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</si>
  <si>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</si>
  <si>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</si>
  <si>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</si>
  <si>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</si>
  <si>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</si>
  <si>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</si>
  <si>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</si>
  <si>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</si>
  <si>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</si>
  <si>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</si>
  <si>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</si>
  <si>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</si>
  <si>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 xml:space="preserve">Зміни та доповнення до бюджетних призначень головним розпорядникам коштів бюджету міста Чорноморська  на 2018 рік у розрізі відповідальних виконавців за бюджетними програмами </t>
  </si>
  <si>
    <t>1610180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</si>
  <si>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</si>
  <si>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</si>
  <si>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</si>
  <si>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</si>
  <si>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</si>
  <si>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</si>
  <si>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1216060</t>
  </si>
  <si>
    <t>6060</t>
  </si>
  <si>
    <t>Утримання об'єктів соціальної сфери підприємств, що передаються до комунальної власності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</si>
  <si>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</si>
  <si>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</si>
  <si>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0217350</t>
  </si>
  <si>
    <t xml:space="preserve">Багатопрофільна стаціонарна медична допомога населенню </t>
  </si>
  <si>
    <t>на первинну медичну допомогу</t>
  </si>
  <si>
    <t>на вторинну медичну допомога</t>
  </si>
  <si>
    <t>3719800</t>
  </si>
  <si>
    <t>7310</t>
  </si>
  <si>
    <t>1217310</t>
  </si>
  <si>
    <t xml:space="preserve">Будівництво об'єктів житлово - комунального господарства </t>
  </si>
  <si>
    <t>КФК</t>
  </si>
  <si>
    <t>1617350</t>
  </si>
  <si>
    <t>Додаток 3</t>
  </si>
  <si>
    <t>до  рішення Чорноморської міської ради</t>
  </si>
  <si>
    <t>від  22.12.2017 р. № 272-VII</t>
  </si>
  <si>
    <t xml:space="preserve">Бюджетні призначення головним розпорядникам коштів бюджету міста Чорноморська  на 2018 рік у розрізі відповідальних виконавців за бюджетними програмами </t>
  </si>
  <si>
    <t>Код ФКВКБ</t>
  </si>
  <si>
    <t>Багатопрофільна стаціонарна медична допомога населенню</t>
  </si>
  <si>
    <t>фонпс</t>
  </si>
  <si>
    <t>власни</t>
  </si>
  <si>
    <t>розвиток</t>
  </si>
  <si>
    <t>целевой эту смму исключили</t>
  </si>
  <si>
    <t xml:space="preserve"> по галузям</t>
  </si>
  <si>
    <t>органи місцевого</t>
  </si>
  <si>
    <t>освіта</t>
  </si>
  <si>
    <t xml:space="preserve">охорона </t>
  </si>
  <si>
    <t xml:space="preserve">соц захист </t>
  </si>
  <si>
    <t>культура</t>
  </si>
  <si>
    <t>ф-ра</t>
  </si>
  <si>
    <t>в т.ч. 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</si>
  <si>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1517691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</si>
  <si>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</si>
  <si>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</si>
  <si>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Міська програма протидії злочинності та посилення громадської безпеки на території міста Чорноморська на 2016 - 2018 роки</t>
  </si>
  <si>
    <t>Міська цільова соціальна програма  розвитку цивільного захисту на 2016 – 2020 роки</t>
  </si>
  <si>
    <t>в т.ч. за програмами:</t>
  </si>
  <si>
    <t>Видатки за рахунок коштів медичної субвенції, всього -</t>
  </si>
  <si>
    <t>в т. ч.:</t>
  </si>
  <si>
    <t>0617370</t>
  </si>
  <si>
    <t>1217130</t>
  </si>
  <si>
    <t>9770</t>
  </si>
  <si>
    <t>Інші субвенції з місцевого бюджету</t>
  </si>
  <si>
    <t>3719770</t>
  </si>
  <si>
    <t xml:space="preserve">Міська  програма  підтримки   і 
розвитку навчально-матеріальної бази та соціального захисту студентів Чорноморського морського коледжу Одеського національного морського університету  на  2018 рік
</t>
  </si>
  <si>
    <t>Управління комунальної власності та земельних відносин  Чорноморської міської ради Одеської області</t>
  </si>
  <si>
    <t xml:space="preserve">Міська  програма  підтримки   і 
розвитку навчально-матеріальної бази ДЗ "Іллічівський судноремонтний ліцей"  на  2018 рік
</t>
  </si>
  <si>
    <t>0810180</t>
  </si>
  <si>
    <t>до рішення Чорноморської міської ради</t>
  </si>
  <si>
    <t>від 16.02.2018 р. № 284 - VII</t>
  </si>
  <si>
    <t>1210170</t>
  </si>
  <si>
    <t>зі змінами та доповненнями, внесеними рішеннями ЧМР :</t>
  </si>
  <si>
    <t>від 16.02.2018р. № 284-VII</t>
  </si>
  <si>
    <r>
      <t>На оновлення матеріально-технічної бази закладів  охорони здоров'я за рахунок  залишку коштів за медичною субвенцією, який сформувався станом на 01.01.2018 року  (п. 4. ст.103</t>
    </r>
    <r>
      <rPr>
        <i/>
        <vertAlign val="superscript"/>
        <sz val="12"/>
        <rFont val="Times New Roman"/>
        <family val="1"/>
        <charset val="204"/>
      </rPr>
      <t>4</t>
    </r>
    <r>
      <rPr>
        <i/>
        <sz val="12"/>
        <rFont val="Times New Roman"/>
        <family val="1"/>
        <charset val="204"/>
      </rPr>
      <t>Бюджетного кодексу України)</t>
    </r>
  </si>
  <si>
    <t>в тому числі :</t>
  </si>
  <si>
    <t xml:space="preserve">оплата праці з нарахуваннями педагогічних працівників у таких типах навчальних закладів за рахунок освітньої  субвенції </t>
  </si>
  <si>
    <t>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</si>
  <si>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0218220</t>
  </si>
  <si>
    <t>8220</t>
  </si>
  <si>
    <t>0380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</si>
  <si>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</si>
  <si>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</si>
  <si>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0813084</t>
  </si>
  <si>
    <t>за рахунок дотації 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</si>
  <si>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за рахунок субвенції місцевого бюджету на здійснення переданих
 видатків у сфері охорони здоров'я за рахунок коштів медичної субвенції (передана до іншого місцевого бюджету)</t>
  </si>
  <si>
    <t>Заходи та роботи з мобілізаційної підготовки місцевого значення</t>
  </si>
  <si>
    <t>0213112</t>
  </si>
  <si>
    <t>0213140</t>
  </si>
  <si>
    <t>1518110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</si>
  <si>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</si>
  <si>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</si>
  <si>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</si>
  <si>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</si>
  <si>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1017370</t>
  </si>
  <si>
    <t>3117660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</si>
  <si>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</si>
  <si>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</si>
  <si>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за рахунок коштів медичної субвенці</t>
  </si>
  <si>
    <t>7670</t>
  </si>
  <si>
    <t>Внески до статутного капіталу суб'єктів господарювання</t>
  </si>
  <si>
    <t>3117670</t>
  </si>
  <si>
    <t>0813048</t>
  </si>
  <si>
    <t>3048</t>
  </si>
  <si>
    <t>Надання при народженні дитини одноразової натуральної допомоги "Пакунок малюка"</t>
  </si>
  <si>
    <t>0813082</t>
  </si>
  <si>
    <t>1113242</t>
  </si>
  <si>
    <t>оплата за проведення  корекційно - розвиткових занять і придбання спеціальних засобів корекції для учнів інклюзивних класів за рахунок субвенції на надання державної підтримки особам з особливими освітніми потребами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</si>
  <si>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</si>
  <si>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</si>
  <si>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</si>
  <si>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</si>
  <si>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</si>
  <si>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</si>
  <si>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</si>
  <si>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</si>
  <si>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</si>
  <si>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</si>
  <si>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в т.ч. віднесені до резерву</t>
  </si>
  <si>
    <t>спеціальний фонд</t>
  </si>
  <si>
    <t>загальний  фонд</t>
  </si>
  <si>
    <t>всього</t>
  </si>
  <si>
    <t xml:space="preserve">з них </t>
  </si>
  <si>
    <t>в тому числ:</t>
  </si>
  <si>
    <t>Темп росту, %</t>
  </si>
  <si>
    <t>Відхилення, грн.</t>
  </si>
  <si>
    <t>Виконано за  1 квартал 2019 року, грн.</t>
  </si>
  <si>
    <t>Виконано за  1 квартал 2018 року, грн.</t>
  </si>
  <si>
    <t>Показники  бюджету міста Чорноморська за видатками за 1 квартал 2019 року порівняно з аналогічними показниками за відповідний період попереднього бюджетного періоду із зазначенням динаміки їх зміни</t>
  </si>
  <si>
    <t>Начальник фінансового управління</t>
  </si>
  <si>
    <t>О.М.Яковенко</t>
  </si>
  <si>
    <t>за рахунок субвенції з місцевого бюджету на здійснення переданих видатків у сфері охорони здоров'я за рахунок коштів медичної субвенції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</si>
  <si>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</si>
  <si>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>в т.ч. за рахунок субвенції з місцевого бюджету на здійснення переданих видатків у сфері освіти за рахунок коштів освітньої субвенції</t>
  </si>
  <si>
    <t>у 20 разів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</si>
</sst>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0"/>
    <numFmt numFmtId="166" formatCode="#,##0.0000000"/>
  </numFmts>
  <fonts count="4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FF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FF"/>
      <name val="Times New Roman"/>
      <family val="1"/>
    </font>
    <font>
      <b/>
      <sz val="12"/>
      <name val="Calibri"/>
      <family val="2"/>
      <charset val="204"/>
    </font>
    <font>
      <i/>
      <vertAlign val="superscript"/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2"/>
      <name val="Calibri"/>
      <family val="2"/>
      <charset val="204"/>
      <scheme val="minor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154">
    <xf numFmtId="0" fontId="0" fillId="0" borderId="0" xfId="0"/>
    <xf numFmtId="49" fontId="14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3" fillId="2" borderId="0" xfId="0" applyFont="1" applyFill="1"/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0" fontId="7" fillId="2" borderId="1" xfId="2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wrapText="1"/>
    </xf>
    <xf numFmtId="0" fontId="8" fillId="2" borderId="0" xfId="0" applyFont="1" applyFill="1"/>
    <xf numFmtId="165" fontId="13" fillId="2" borderId="0" xfId="0" applyNumberFormat="1" applyFont="1" applyFill="1"/>
    <xf numFmtId="0" fontId="10" fillId="2" borderId="0" xfId="0" applyFont="1" applyFill="1"/>
    <xf numFmtId="0" fontId="15" fillId="2" borderId="0" xfId="0" applyFont="1" applyFill="1"/>
    <xf numFmtId="164" fontId="2" fillId="2" borderId="0" xfId="0" applyNumberFormat="1" applyFont="1" applyFill="1"/>
    <xf numFmtId="0" fontId="5" fillId="2" borderId="1" xfId="2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2" applyNumberFormat="1" applyFont="1" applyFill="1" applyBorder="1" applyAlignment="1">
      <alignment horizontal="center"/>
    </xf>
    <xf numFmtId="164" fontId="9" fillId="2" borderId="1" xfId="2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2" applyFont="1" applyFill="1" applyBorder="1" applyAlignment="1">
      <alignment wrapText="1"/>
    </xf>
    <xf numFmtId="165" fontId="5" fillId="2" borderId="1" xfId="2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 wrapText="1"/>
    </xf>
    <xf numFmtId="0" fontId="5" fillId="2" borderId="1" xfId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0" fontId="5" fillId="2" borderId="0" xfId="0" applyFont="1" applyFill="1"/>
    <xf numFmtId="0" fontId="9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164" fontId="13" fillId="2" borderId="0" xfId="0" applyNumberFormat="1" applyFont="1" applyFill="1"/>
    <xf numFmtId="49" fontId="17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wrapText="1"/>
    </xf>
    <xf numFmtId="0" fontId="17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wrapText="1"/>
    </xf>
    <xf numFmtId="0" fontId="9" fillId="2" borderId="1" xfId="2" applyFont="1" applyFill="1" applyBorder="1" applyAlignment="1"/>
    <xf numFmtId="165" fontId="9" fillId="2" borderId="1" xfId="2" applyNumberFormat="1" applyFont="1" applyFill="1" applyBorder="1" applyAlignment="1">
      <alignment horizontal="center"/>
    </xf>
    <xf numFmtId="49" fontId="5" fillId="2" borderId="0" xfId="0" applyNumberFormat="1" applyFont="1" applyFill="1"/>
    <xf numFmtId="164" fontId="18" fillId="2" borderId="0" xfId="2" applyNumberFormat="1" applyFont="1" applyFill="1"/>
    <xf numFmtId="0" fontId="18" fillId="2" borderId="0" xfId="2" applyFont="1" applyFill="1"/>
    <xf numFmtId="165" fontId="5" fillId="2" borderId="0" xfId="0" applyNumberFormat="1" applyFont="1" applyFill="1"/>
    <xf numFmtId="49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164" fontId="5" fillId="2" borderId="0" xfId="0" applyNumberFormat="1" applyFont="1" applyFill="1"/>
    <xf numFmtId="1" fontId="5" fillId="2" borderId="0" xfId="0" applyNumberFormat="1" applyFont="1" applyFill="1"/>
    <xf numFmtId="164" fontId="2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wrapText="1"/>
    </xf>
    <xf numFmtId="0" fontId="2" fillId="2" borderId="1" xfId="3" applyFont="1" applyFill="1" applyBorder="1" applyAlignment="1">
      <alignment wrapText="1"/>
    </xf>
    <xf numFmtId="165" fontId="2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164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/>
    <xf numFmtId="164" fontId="10" fillId="2" borderId="0" xfId="2" applyNumberFormat="1" applyFont="1" applyFill="1"/>
    <xf numFmtId="0" fontId="10" fillId="2" borderId="0" xfId="2" applyFont="1" applyFill="1"/>
    <xf numFmtId="49" fontId="12" fillId="2" borderId="0" xfId="0" applyNumberFormat="1" applyFont="1" applyFill="1"/>
    <xf numFmtId="165" fontId="12" fillId="2" borderId="0" xfId="0" applyNumberFormat="1" applyFont="1" applyFill="1"/>
    <xf numFmtId="166" fontId="13" fillId="2" borderId="0" xfId="0" applyNumberFormat="1" applyFont="1" applyFill="1"/>
    <xf numFmtId="165" fontId="20" fillId="2" borderId="0" xfId="2" applyNumberFormat="1" applyFont="1" applyFill="1"/>
    <xf numFmtId="0" fontId="20" fillId="2" borderId="0" xfId="2" applyFont="1" applyFill="1"/>
    <xf numFmtId="0" fontId="19" fillId="2" borderId="0" xfId="0" applyFont="1" applyFill="1"/>
    <xf numFmtId="164" fontId="21" fillId="2" borderId="0" xfId="0" applyNumberFormat="1" applyFont="1" applyFill="1"/>
    <xf numFmtId="0" fontId="22" fillId="2" borderId="0" xfId="0" applyFont="1" applyFill="1"/>
    <xf numFmtId="0" fontId="13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9" fillId="2" borderId="1" xfId="0" applyFont="1" applyFill="1" applyBorder="1" applyAlignment="1">
      <alignment wrapText="1"/>
    </xf>
    <xf numFmtId="165" fontId="9" fillId="2" borderId="1" xfId="2" applyNumberFormat="1" applyFont="1" applyFill="1" applyBorder="1" applyAlignment="1">
      <alignment horizontal="center" wrapText="1"/>
    </xf>
    <xf numFmtId="165" fontId="17" fillId="2" borderId="1" xfId="2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0" fontId="17" fillId="2" borderId="1" xfId="1" applyFont="1" applyFill="1" applyBorder="1" applyAlignment="1">
      <alignment wrapText="1"/>
    </xf>
    <xf numFmtId="165" fontId="17" fillId="2" borderId="1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vertical="center" wrapText="1"/>
    </xf>
    <xf numFmtId="0" fontId="26" fillId="2" borderId="1" xfId="2" applyFont="1" applyFill="1" applyBorder="1" applyAlignment="1">
      <alignment vertical="center" wrapText="1"/>
    </xf>
    <xf numFmtId="0" fontId="17" fillId="2" borderId="1" xfId="2" applyFont="1" applyFill="1" applyBorder="1" applyAlignment="1">
      <alignment wrapText="1"/>
    </xf>
    <xf numFmtId="0" fontId="27" fillId="2" borderId="0" xfId="0" applyFont="1" applyFill="1"/>
    <xf numFmtId="0" fontId="28" fillId="2" borderId="0" xfId="0" applyFont="1" applyFill="1" applyAlignment="1"/>
    <xf numFmtId="49" fontId="29" fillId="2" borderId="1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wrapText="1"/>
    </xf>
    <xf numFmtId="49" fontId="30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165" fontId="31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164" fontId="9" fillId="2" borderId="1" xfId="2" applyNumberFormat="1" applyFont="1" applyFill="1" applyBorder="1" applyAlignment="1">
      <alignment horizontal="center" wrapText="1"/>
    </xf>
    <xf numFmtId="0" fontId="33" fillId="2" borderId="0" xfId="0" applyFont="1" applyFill="1"/>
    <xf numFmtId="164" fontId="17" fillId="2" borderId="1" xfId="0" applyNumberFormat="1" applyFont="1" applyFill="1" applyBorder="1" applyAlignment="1">
      <alignment horizontal="center"/>
    </xf>
    <xf numFmtId="164" fontId="17" fillId="2" borderId="1" xfId="2" applyNumberFormat="1" applyFont="1" applyFill="1" applyBorder="1" applyAlignment="1">
      <alignment horizontal="center"/>
    </xf>
    <xf numFmtId="1" fontId="17" fillId="2" borderId="0" xfId="0" applyNumberFormat="1" applyFont="1" applyFill="1"/>
    <xf numFmtId="0" fontId="18" fillId="2" borderId="0" xfId="0" applyFont="1" applyFill="1"/>
    <xf numFmtId="164" fontId="9" fillId="2" borderId="1" xfId="0" applyNumberFormat="1" applyFont="1" applyFill="1" applyBorder="1" applyAlignment="1">
      <alignment horizontal="center"/>
    </xf>
    <xf numFmtId="0" fontId="17" fillId="2" borderId="1" xfId="2" applyFont="1" applyFill="1" applyBorder="1" applyAlignment="1">
      <alignment vertical="center" wrapText="1"/>
    </xf>
    <xf numFmtId="0" fontId="35" fillId="2" borderId="0" xfId="0" applyFont="1" applyFill="1"/>
    <xf numFmtId="0" fontId="32" fillId="2" borderId="0" xfId="0" applyFont="1" applyFill="1" applyAlignment="1">
      <alignment horizontal="left"/>
    </xf>
    <xf numFmtId="0" fontId="28" fillId="2" borderId="1" xfId="0" applyFont="1" applyFill="1" applyBorder="1" applyAlignment="1">
      <alignment wrapText="1"/>
    </xf>
    <xf numFmtId="3" fontId="36" fillId="2" borderId="1" xfId="2" applyNumberFormat="1" applyFont="1" applyFill="1" applyBorder="1" applyAlignment="1">
      <alignment horizontal="center" wrapText="1"/>
    </xf>
    <xf numFmtId="3" fontId="36" fillId="2" borderId="1" xfId="2" applyNumberFormat="1" applyFont="1" applyFill="1" applyBorder="1" applyAlignment="1">
      <alignment horizontal="center"/>
    </xf>
    <xf numFmtId="3" fontId="12" fillId="2" borderId="1" xfId="2" applyNumberFormat="1" applyFont="1" applyFill="1" applyBorder="1" applyAlignment="1">
      <alignment horizontal="center"/>
    </xf>
    <xf numFmtId="3" fontId="37" fillId="2" borderId="1" xfId="2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37" fillId="2" borderId="1" xfId="0" applyNumberFormat="1" applyFont="1" applyFill="1" applyBorder="1" applyAlignment="1">
      <alignment horizontal="center"/>
    </xf>
    <xf numFmtId="3" fontId="12" fillId="2" borderId="1" xfId="0" applyNumberFormat="1" applyFont="1" applyFill="1" applyBorder="1"/>
    <xf numFmtId="0" fontId="17" fillId="2" borderId="1" xfId="2" applyFont="1" applyFill="1" applyBorder="1" applyAlignment="1">
      <alignment vertical="top" wrapText="1"/>
    </xf>
    <xf numFmtId="0" fontId="17" fillId="2" borderId="1" xfId="2" applyFont="1" applyFill="1" applyBorder="1" applyAlignment="1">
      <alignment horizontal="left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3" fontId="37" fillId="2" borderId="1" xfId="0" applyNumberFormat="1" applyFont="1" applyFill="1" applyBorder="1"/>
    <xf numFmtId="0" fontId="38" fillId="2" borderId="0" xfId="0" applyFont="1" applyFill="1"/>
    <xf numFmtId="0" fontId="41" fillId="2" borderId="0" xfId="0" applyFont="1" applyFill="1"/>
    <xf numFmtId="3" fontId="5" fillId="2" borderId="0" xfId="0" applyNumberFormat="1" applyFont="1" applyFill="1"/>
    <xf numFmtId="4" fontId="5" fillId="2" borderId="0" xfId="0" applyNumberFormat="1" applyFont="1" applyFill="1"/>
    <xf numFmtId="9" fontId="36" fillId="2" borderId="1" xfId="2" applyNumberFormat="1" applyFont="1" applyFill="1" applyBorder="1" applyAlignment="1">
      <alignment horizontal="center"/>
    </xf>
    <xf numFmtId="9" fontId="12" fillId="2" borderId="1" xfId="2" applyNumberFormat="1" applyFont="1" applyFill="1" applyBorder="1" applyAlignment="1">
      <alignment horizontal="center"/>
    </xf>
    <xf numFmtId="9" fontId="37" fillId="2" borderId="1" xfId="2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3" fontId="36" fillId="2" borderId="1" xfId="0" applyNumberFormat="1" applyFont="1" applyFill="1" applyBorder="1"/>
    <xf numFmtId="164" fontId="12" fillId="2" borderId="0" xfId="2" applyNumberFormat="1" applyFont="1" applyFill="1"/>
    <xf numFmtId="2" fontId="12" fillId="2" borderId="0" xfId="0" applyNumberFormat="1" applyFont="1" applyFill="1"/>
    <xf numFmtId="0" fontId="12" fillId="2" borderId="0" xfId="2" applyFont="1" applyFill="1"/>
    <xf numFmtId="3" fontId="12" fillId="2" borderId="0" xfId="2" applyNumberFormat="1" applyFont="1" applyFill="1"/>
    <xf numFmtId="0" fontId="28" fillId="2" borderId="1" xfId="0" applyFont="1" applyFill="1" applyBorder="1" applyAlignment="1"/>
    <xf numFmtId="4" fontId="12" fillId="2" borderId="0" xfId="0" applyNumberFormat="1" applyFont="1" applyFill="1"/>
    <xf numFmtId="3" fontId="13" fillId="2" borderId="0" xfId="0" applyNumberFormat="1" applyFont="1" applyFill="1"/>
    <xf numFmtId="49" fontId="5" fillId="2" borderId="1" xfId="0" applyNumberFormat="1" applyFont="1" applyFill="1" applyBorder="1" applyAlignment="1">
      <alignment horizontal="center" wrapText="1"/>
    </xf>
    <xf numFmtId="0" fontId="17" fillId="2" borderId="1" xfId="0" applyFont="1" applyFill="1" applyBorder="1" applyAlignment="1">
      <alignment horizontal="left" vertical="top" wrapText="1"/>
    </xf>
    <xf numFmtId="9" fontId="12" fillId="2" borderId="1" xfId="2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horizontal="center"/>
    </xf>
    <xf numFmtId="49" fontId="11" fillId="2" borderId="0" xfId="0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4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39" fillId="2" borderId="8" xfId="0" applyFont="1" applyFill="1" applyBorder="1" applyAlignment="1">
      <alignment horizontal="center" vertical="center" wrapText="1"/>
    </xf>
    <xf numFmtId="0" fontId="39" fillId="2" borderId="9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\0-&#1057;&#1090;&#1072;&#1088;&#1099;&#1077;%20&#1076;&#1072;&#1085;&#1085;&#1099;&#1077;\SHARE\&#1041;&#1102;&#1076;&#1078;&#1077;&#1090;%202018\&#1059;&#1058;&#1054;&#1063;&#1053;&#1045;&#1053;&#1053;&#1071;\&#1051;&#1102;&#1090;&#1080;&#1081;\&#1056;&#1110;&#1096;&#1077;&#1085;&#1085;&#1103;%20&#1079;&#1110;%20&#1079;&#1084;&#1110;&#1085;&#1072;&#1084;&#1080;%2016.02.18\&#1044;&#1086;&#1076;.&#8470;%203_&#1074;&#1080;&#1076;&#1072;&#1090;&#1082;&#1080;%20&#1087;&#1086;%20&#1088;&#1086;&#1079;&#1087;&#1086;&#1088;&#1103;&#1076;&#1085;&#1080;&#1082;&#1072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чатковий"/>
      <sheetName val="зміни лютий"/>
      <sheetName val="зі змінами 16.02.18"/>
    </sheetNames>
    <sheetDataSet>
      <sheetData sheetId="0">
        <row r="145">
          <cell r="E145">
            <v>658544.79999999993</v>
          </cell>
          <cell r="F145">
            <v>246322.50000000003</v>
          </cell>
          <cell r="G145">
            <v>26806.400000000001</v>
          </cell>
          <cell r="H145">
            <v>157751.201</v>
          </cell>
          <cell r="I145">
            <v>19090.200999999997</v>
          </cell>
          <cell r="J145">
            <v>233.8</v>
          </cell>
          <cell r="K145">
            <v>0</v>
          </cell>
          <cell r="L145">
            <v>138661</v>
          </cell>
          <cell r="M145">
            <v>138607</v>
          </cell>
          <cell r="N145">
            <v>132607</v>
          </cell>
          <cell r="O145">
            <v>816296.00099999993</v>
          </cell>
        </row>
      </sheetData>
      <sheetData sheetId="1">
        <row r="170">
          <cell r="E170">
            <v>15052.279999999999</v>
          </cell>
          <cell r="F170">
            <v>0</v>
          </cell>
          <cell r="G170">
            <v>0</v>
          </cell>
          <cell r="H170">
            <v>23544.036360000002</v>
          </cell>
          <cell r="I170">
            <v>-50</v>
          </cell>
          <cell r="J170">
            <v>0</v>
          </cell>
          <cell r="K170">
            <v>0</v>
          </cell>
          <cell r="L170">
            <v>23594.036360000002</v>
          </cell>
          <cell r="M170">
            <v>12360.552380000001</v>
          </cell>
          <cell r="N170">
            <v>12360.552380000001</v>
          </cell>
          <cell r="O170">
            <v>38596.316359999997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78"/>
  <sheetViews>
    <sheetView topLeftCell="A92" zoomScale="75" zoomScaleNormal="75" workbookViewId="0">
      <selection activeCell="D163" sqref="D163"/>
    </sheetView>
  </sheetViews>
  <sheetFormatPr defaultRowHeight="1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4" style="4" customWidth="1"/>
    <col min="13" max="13" width="16.28515625" style="4" customWidth="1"/>
    <col min="14" max="14" width="15.7109375" style="4" customWidth="1"/>
    <col min="15" max="15" width="15.85546875" style="4" customWidth="1"/>
    <col min="16" max="16" width="11" style="4" bestFit="1" customWidth="1"/>
    <col min="17" max="17" width="12" style="4" bestFit="1" customWidth="1"/>
    <col min="18" max="16384" width="9.140625" style="4"/>
  </cols>
  <sheetData>
    <row r="1" spans="1:16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>
      <c r="D4" s="2"/>
      <c r="E4" s="3"/>
      <c r="F4" s="3"/>
      <c r="G4" s="3"/>
      <c r="H4" s="3"/>
      <c r="I4" s="3"/>
      <c r="J4" s="3"/>
      <c r="K4" s="3"/>
      <c r="L4" s="5"/>
      <c r="M4" s="5"/>
      <c r="N4" s="3"/>
      <c r="O4" s="3"/>
    </row>
    <row r="5" spans="1:16"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</row>
    <row r="6" spans="1:16" ht="20.25">
      <c r="A6" s="138" t="s">
        <v>356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</row>
    <row r="7" spans="1:16"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</row>
    <row r="8" spans="1:16"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 t="s">
        <v>0</v>
      </c>
    </row>
    <row r="9" spans="1:16">
      <c r="A9" s="140" t="s">
        <v>28</v>
      </c>
      <c r="B9" s="140" t="s">
        <v>29</v>
      </c>
      <c r="C9" s="143" t="s">
        <v>357</v>
      </c>
      <c r="D9" s="144" t="s">
        <v>31</v>
      </c>
      <c r="E9" s="145" t="s">
        <v>1</v>
      </c>
      <c r="F9" s="145"/>
      <c r="G9" s="145"/>
      <c r="H9" s="145" t="s">
        <v>6</v>
      </c>
      <c r="I9" s="145"/>
      <c r="J9" s="145"/>
      <c r="K9" s="145"/>
      <c r="L9" s="145"/>
      <c r="M9" s="145"/>
      <c r="N9" s="145"/>
      <c r="O9" s="145" t="s">
        <v>11</v>
      </c>
    </row>
    <row r="10" spans="1:16">
      <c r="A10" s="141"/>
      <c r="B10" s="141"/>
      <c r="C10" s="143"/>
      <c r="D10" s="144"/>
      <c r="E10" s="145" t="s">
        <v>2</v>
      </c>
      <c r="F10" s="145" t="s">
        <v>3</v>
      </c>
      <c r="G10" s="145"/>
      <c r="H10" s="145" t="s">
        <v>2</v>
      </c>
      <c r="I10" s="145" t="s">
        <v>7</v>
      </c>
      <c r="J10" s="145" t="s">
        <v>3</v>
      </c>
      <c r="K10" s="145"/>
      <c r="L10" s="145" t="s">
        <v>8</v>
      </c>
      <c r="M10" s="145" t="s">
        <v>3</v>
      </c>
      <c r="N10" s="145"/>
      <c r="O10" s="145"/>
    </row>
    <row r="11" spans="1:16">
      <c r="A11" s="141"/>
      <c r="B11" s="141"/>
      <c r="C11" s="143"/>
      <c r="D11" s="144"/>
      <c r="E11" s="145"/>
      <c r="F11" s="145" t="s">
        <v>4</v>
      </c>
      <c r="G11" s="145" t="s">
        <v>5</v>
      </c>
      <c r="H11" s="145"/>
      <c r="I11" s="145"/>
      <c r="J11" s="145" t="s">
        <v>4</v>
      </c>
      <c r="K11" s="145" t="s">
        <v>5</v>
      </c>
      <c r="L11" s="145"/>
      <c r="M11" s="145" t="s">
        <v>9</v>
      </c>
      <c r="N11" s="38" t="s">
        <v>3</v>
      </c>
      <c r="O11" s="145"/>
    </row>
    <row r="12" spans="1:16" ht="63">
      <c r="A12" s="142"/>
      <c r="B12" s="142"/>
      <c r="C12" s="143"/>
      <c r="D12" s="144"/>
      <c r="E12" s="145"/>
      <c r="F12" s="145"/>
      <c r="G12" s="145"/>
      <c r="H12" s="145"/>
      <c r="I12" s="145"/>
      <c r="J12" s="145"/>
      <c r="K12" s="145"/>
      <c r="L12" s="145"/>
      <c r="M12" s="145"/>
      <c r="N12" s="9" t="s">
        <v>10</v>
      </c>
      <c r="O12" s="145"/>
    </row>
    <row r="13" spans="1:16">
      <c r="A13" s="10">
        <v>1</v>
      </c>
      <c r="B13" s="10">
        <v>2</v>
      </c>
      <c r="C13" s="10">
        <v>3</v>
      </c>
      <c r="D13" s="3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  <c r="L13" s="38">
        <v>12</v>
      </c>
      <c r="M13" s="38">
        <v>13</v>
      </c>
      <c r="N13" s="38">
        <v>14</v>
      </c>
      <c r="O13" s="38" t="s">
        <v>30</v>
      </c>
    </row>
    <row r="14" spans="1:16" s="13" customFormat="1" ht="29.25">
      <c r="A14" s="46" t="s">
        <v>137</v>
      </c>
      <c r="B14" s="46"/>
      <c r="C14" s="46"/>
      <c r="D14" s="47" t="s">
        <v>25</v>
      </c>
      <c r="E14" s="48">
        <f>E15</f>
        <v>130738.4</v>
      </c>
      <c r="F14" s="48">
        <f t="shared" ref="F14:N14" si="0">F15</f>
        <v>20424</v>
      </c>
      <c r="G14" s="48">
        <f t="shared" si="0"/>
        <v>2029.7</v>
      </c>
      <c r="H14" s="48">
        <f t="shared" si="0"/>
        <v>18449.599999999999</v>
      </c>
      <c r="I14" s="48">
        <f t="shared" si="0"/>
        <v>8729.6</v>
      </c>
      <c r="J14" s="48">
        <f t="shared" si="0"/>
        <v>0</v>
      </c>
      <c r="K14" s="48">
        <f t="shared" si="0"/>
        <v>0</v>
      </c>
      <c r="L14" s="48">
        <f t="shared" si="0"/>
        <v>9720</v>
      </c>
      <c r="M14" s="48">
        <f t="shared" si="0"/>
        <v>9700</v>
      </c>
      <c r="N14" s="48">
        <f t="shared" si="0"/>
        <v>9700</v>
      </c>
      <c r="O14" s="49">
        <f t="shared" ref="O14:O20" si="1">E14+H14</f>
        <v>149188</v>
      </c>
    </row>
    <row r="15" spans="1:16" ht="29.25">
      <c r="A15" s="46" t="s">
        <v>138</v>
      </c>
      <c r="B15" s="50"/>
      <c r="C15" s="50"/>
      <c r="D15" s="47" t="s">
        <v>25</v>
      </c>
      <c r="E15" s="49">
        <f>E16+E17+E18+E19+E20+E21+E22+E23+E24+E25+E26+E27+E29+E30+E28</f>
        <v>130738.4</v>
      </c>
      <c r="F15" s="49">
        <f t="shared" ref="F15:N15" si="2">F16+F17+F18+F19+F20+F23+F24+F25+F26+F27+F29+F30+F28</f>
        <v>20424</v>
      </c>
      <c r="G15" s="49">
        <f t="shared" si="2"/>
        <v>2029.7</v>
      </c>
      <c r="H15" s="49">
        <f>I15+L15</f>
        <v>18449.599999999999</v>
      </c>
      <c r="I15" s="49">
        <f t="shared" si="2"/>
        <v>8729.6</v>
      </c>
      <c r="J15" s="49">
        <f t="shared" si="2"/>
        <v>0</v>
      </c>
      <c r="K15" s="49">
        <f t="shared" si="2"/>
        <v>0</v>
      </c>
      <c r="L15" s="49">
        <f t="shared" si="2"/>
        <v>9720</v>
      </c>
      <c r="M15" s="49">
        <f t="shared" si="2"/>
        <v>9700</v>
      </c>
      <c r="N15" s="49">
        <f t="shared" si="2"/>
        <v>9700</v>
      </c>
      <c r="O15" s="49">
        <f t="shared" si="1"/>
        <v>149188</v>
      </c>
    </row>
    <row r="16" spans="1:16" s="29" customFormat="1" ht="78.75">
      <c r="A16" s="19" t="s">
        <v>139</v>
      </c>
      <c r="B16" s="19" t="s">
        <v>117</v>
      </c>
      <c r="C16" s="19" t="s">
        <v>32</v>
      </c>
      <c r="D16" s="18" t="s">
        <v>118</v>
      </c>
      <c r="E16" s="20">
        <f>25114.2-25</f>
        <v>25089.200000000001</v>
      </c>
      <c r="F16" s="20">
        <f>16741+3683</f>
        <v>20424</v>
      </c>
      <c r="G16" s="20">
        <f>2029.7</f>
        <v>2029.7</v>
      </c>
      <c r="H16" s="20">
        <f>I16+L16</f>
        <v>2325</v>
      </c>
      <c r="I16" s="20">
        <f>121+24</f>
        <v>145</v>
      </c>
      <c r="J16" s="20"/>
      <c r="K16" s="20"/>
      <c r="L16" s="20">
        <f>1180+500+500</f>
        <v>2180</v>
      </c>
      <c r="M16" s="20">
        <v>2180</v>
      </c>
      <c r="N16" s="20">
        <v>2180</v>
      </c>
      <c r="O16" s="20">
        <f t="shared" si="1"/>
        <v>27414.2</v>
      </c>
      <c r="P16" s="51"/>
    </row>
    <row r="17" spans="1:16" s="29" customFormat="1" ht="47.25">
      <c r="A17" s="19" t="s">
        <v>237</v>
      </c>
      <c r="B17" s="19" t="s">
        <v>238</v>
      </c>
      <c r="C17" s="19" t="s">
        <v>239</v>
      </c>
      <c r="D17" s="18" t="s">
        <v>240</v>
      </c>
      <c r="E17" s="20">
        <v>25</v>
      </c>
      <c r="F17" s="20"/>
      <c r="G17" s="20"/>
      <c r="H17" s="20"/>
      <c r="I17" s="20"/>
      <c r="J17" s="20"/>
      <c r="K17" s="20"/>
      <c r="L17" s="20"/>
      <c r="M17" s="20"/>
      <c r="N17" s="20"/>
      <c r="O17" s="20">
        <f t="shared" si="1"/>
        <v>25</v>
      </c>
      <c r="P17" s="51"/>
    </row>
    <row r="18" spans="1:16" s="29" customFormat="1" ht="31.5">
      <c r="A18" s="19" t="s">
        <v>247</v>
      </c>
      <c r="B18" s="19" t="s">
        <v>41</v>
      </c>
      <c r="C18" s="19" t="s">
        <v>37</v>
      </c>
      <c r="D18" s="23" t="s">
        <v>248</v>
      </c>
      <c r="E18" s="20">
        <v>1550.5</v>
      </c>
      <c r="F18" s="20"/>
      <c r="G18" s="20"/>
      <c r="H18" s="20"/>
      <c r="I18" s="20"/>
      <c r="J18" s="20"/>
      <c r="K18" s="20"/>
      <c r="L18" s="20"/>
      <c r="M18" s="20"/>
      <c r="N18" s="20"/>
      <c r="O18" s="20">
        <f t="shared" si="1"/>
        <v>1550.5</v>
      </c>
      <c r="P18" s="51"/>
    </row>
    <row r="19" spans="1:16" s="29" customFormat="1" ht="31.5">
      <c r="A19" s="19" t="s">
        <v>140</v>
      </c>
      <c r="B19" s="19" t="s">
        <v>69</v>
      </c>
      <c r="C19" s="19" t="s">
        <v>70</v>
      </c>
      <c r="D19" s="12" t="s">
        <v>358</v>
      </c>
      <c r="E19" s="20">
        <v>80731.600000000006</v>
      </c>
      <c r="F19" s="20"/>
      <c r="G19" s="20"/>
      <c r="H19" s="20">
        <f>I19+L19</f>
        <v>11365.6</v>
      </c>
      <c r="I19" s="24">
        <v>4345.6000000000004</v>
      </c>
      <c r="J19" s="20"/>
      <c r="K19" s="20"/>
      <c r="L19" s="20">
        <f>20+5000+1500+500</f>
        <v>7020</v>
      </c>
      <c r="M19" s="20">
        <f>5000+1500+500</f>
        <v>7000</v>
      </c>
      <c r="N19" s="20">
        <f>5000+1500+500</f>
        <v>7000</v>
      </c>
      <c r="O19" s="20">
        <f t="shared" si="1"/>
        <v>92097.200000000012</v>
      </c>
      <c r="P19" s="51"/>
    </row>
    <row r="20" spans="1:16" s="29" customFormat="1" ht="15.75">
      <c r="A20" s="19" t="s">
        <v>141</v>
      </c>
      <c r="B20" s="19" t="s">
        <v>119</v>
      </c>
      <c r="C20" s="19" t="s">
        <v>71</v>
      </c>
      <c r="D20" s="12" t="s">
        <v>120</v>
      </c>
      <c r="E20" s="20">
        <v>9640.7000000000007</v>
      </c>
      <c r="F20" s="20"/>
      <c r="G20" s="20"/>
      <c r="H20" s="20">
        <f>I20+L20</f>
        <v>4279</v>
      </c>
      <c r="I20" s="20">
        <v>3759</v>
      </c>
      <c r="J20" s="20"/>
      <c r="K20" s="20"/>
      <c r="L20" s="20">
        <v>520</v>
      </c>
      <c r="M20" s="20">
        <v>520</v>
      </c>
      <c r="N20" s="20">
        <v>520</v>
      </c>
      <c r="O20" s="20">
        <f t="shared" si="1"/>
        <v>13919.7</v>
      </c>
      <c r="P20" s="51"/>
    </row>
    <row r="21" spans="1:16" s="29" customFormat="1" ht="31.5">
      <c r="A21" s="19" t="s">
        <v>281</v>
      </c>
      <c r="B21" s="19" t="s">
        <v>276</v>
      </c>
      <c r="C21" s="19" t="s">
        <v>277</v>
      </c>
      <c r="D21" s="12" t="s">
        <v>278</v>
      </c>
      <c r="E21" s="20">
        <v>1676.2</v>
      </c>
      <c r="F21" s="20"/>
      <c r="G21" s="20"/>
      <c r="H21" s="24"/>
      <c r="I21" s="24"/>
      <c r="J21" s="24"/>
      <c r="K21" s="24"/>
      <c r="L21" s="24"/>
      <c r="M21" s="24"/>
      <c r="N21" s="24"/>
      <c r="O21" s="20">
        <f>E21+H21</f>
        <v>1676.2</v>
      </c>
      <c r="P21" s="51"/>
    </row>
    <row r="22" spans="1:16" s="29" customFormat="1" ht="31.5">
      <c r="A22" s="19" t="s">
        <v>282</v>
      </c>
      <c r="B22" s="19" t="s">
        <v>279</v>
      </c>
      <c r="C22" s="19" t="s">
        <v>277</v>
      </c>
      <c r="D22" s="12" t="s">
        <v>280</v>
      </c>
      <c r="E22" s="20">
        <v>1647.3</v>
      </c>
      <c r="F22" s="20"/>
      <c r="G22" s="20"/>
      <c r="H22" s="24"/>
      <c r="I22" s="24"/>
      <c r="J22" s="24"/>
      <c r="K22" s="24"/>
      <c r="L22" s="24"/>
      <c r="M22" s="24"/>
      <c r="N22" s="24"/>
      <c r="O22" s="20">
        <f>E22+H22</f>
        <v>1647.3</v>
      </c>
      <c r="P22" s="51"/>
    </row>
    <row r="23" spans="1:16" s="29" customFormat="1" ht="31.5">
      <c r="A23" s="19" t="s">
        <v>320</v>
      </c>
      <c r="B23" s="19" t="s">
        <v>318</v>
      </c>
      <c r="C23" s="19" t="s">
        <v>33</v>
      </c>
      <c r="D23" s="18" t="s">
        <v>319</v>
      </c>
      <c r="E23" s="20">
        <v>2946.7</v>
      </c>
      <c r="F23" s="20"/>
      <c r="G23" s="20"/>
      <c r="H23" s="20"/>
      <c r="I23" s="20"/>
      <c r="J23" s="20"/>
      <c r="K23" s="20"/>
      <c r="L23" s="20"/>
      <c r="M23" s="20"/>
      <c r="N23" s="20"/>
      <c r="O23" s="20">
        <f t="shared" ref="O23:O84" si="3">E23+H23</f>
        <v>2946.7</v>
      </c>
    </row>
    <row r="24" spans="1:16" s="29" customFormat="1" ht="31.5">
      <c r="A24" s="19" t="s">
        <v>245</v>
      </c>
      <c r="B24" s="19" t="s">
        <v>244</v>
      </c>
      <c r="C24" s="19" t="s">
        <v>35</v>
      </c>
      <c r="D24" s="18" t="s">
        <v>246</v>
      </c>
      <c r="E24" s="20">
        <f>300+500</f>
        <v>800</v>
      </c>
      <c r="F24" s="20"/>
      <c r="G24" s="20"/>
      <c r="H24" s="20"/>
      <c r="I24" s="20"/>
      <c r="J24" s="20"/>
      <c r="K24" s="20"/>
      <c r="L24" s="20"/>
      <c r="M24" s="20"/>
      <c r="N24" s="20"/>
      <c r="O24" s="20">
        <f t="shared" si="3"/>
        <v>800</v>
      </c>
    </row>
    <row r="25" spans="1:16" s="29" customFormat="1" ht="15.75">
      <c r="A25" s="19" t="s">
        <v>197</v>
      </c>
      <c r="B25" s="19" t="s">
        <v>196</v>
      </c>
      <c r="C25" s="19" t="s">
        <v>38</v>
      </c>
      <c r="D25" s="12" t="s">
        <v>39</v>
      </c>
      <c r="E25" s="20">
        <v>200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si="3"/>
        <v>200</v>
      </c>
    </row>
    <row r="26" spans="1:16" s="29" customFormat="1" ht="31.5">
      <c r="A26" s="19" t="s">
        <v>242</v>
      </c>
      <c r="B26" s="19" t="s">
        <v>241</v>
      </c>
      <c r="C26" s="19" t="s">
        <v>58</v>
      </c>
      <c r="D26" s="12" t="s">
        <v>243</v>
      </c>
      <c r="E26" s="20">
        <v>40</v>
      </c>
      <c r="F26" s="20"/>
      <c r="G26" s="20"/>
      <c r="H26" s="20"/>
      <c r="I26" s="20"/>
      <c r="J26" s="20"/>
      <c r="K26" s="20"/>
      <c r="L26" s="20"/>
      <c r="M26" s="20"/>
      <c r="N26" s="20"/>
      <c r="O26" s="20">
        <f t="shared" si="3"/>
        <v>40</v>
      </c>
    </row>
    <row r="27" spans="1:16" s="29" customFormat="1" ht="31.5">
      <c r="A27" s="19" t="s">
        <v>297</v>
      </c>
      <c r="B27" s="19" t="s">
        <v>296</v>
      </c>
      <c r="C27" s="19" t="s">
        <v>58</v>
      </c>
      <c r="D27" s="18" t="s">
        <v>298</v>
      </c>
      <c r="E27" s="20">
        <v>3341.7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3341.7</v>
      </c>
    </row>
    <row r="28" spans="1:16" s="29" customFormat="1" ht="47.25">
      <c r="A28" s="19" t="s">
        <v>195</v>
      </c>
      <c r="B28" s="19" t="s">
        <v>194</v>
      </c>
      <c r="C28" s="19" t="s">
        <v>36</v>
      </c>
      <c r="D28" s="12" t="s">
        <v>299</v>
      </c>
      <c r="E28" s="20">
        <v>237.5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237.5</v>
      </c>
    </row>
    <row r="29" spans="1:16" s="29" customFormat="1" ht="31.5">
      <c r="A29" s="19" t="s">
        <v>275</v>
      </c>
      <c r="B29" s="19" t="s">
        <v>274</v>
      </c>
      <c r="C29" s="19" t="s">
        <v>101</v>
      </c>
      <c r="D29" s="18" t="s">
        <v>295</v>
      </c>
      <c r="E29" s="20"/>
      <c r="F29" s="20"/>
      <c r="G29" s="20"/>
      <c r="H29" s="20">
        <f>I29+L29</f>
        <v>480</v>
      </c>
      <c r="I29" s="20">
        <f>60+20+50+90+70+190</f>
        <v>480</v>
      </c>
      <c r="J29" s="20"/>
      <c r="K29" s="20"/>
      <c r="L29" s="20"/>
      <c r="M29" s="20"/>
      <c r="N29" s="20"/>
      <c r="O29" s="20">
        <f t="shared" si="3"/>
        <v>480</v>
      </c>
    </row>
    <row r="30" spans="1:16" s="29" customFormat="1" ht="31.5">
      <c r="A30" s="19" t="s">
        <v>192</v>
      </c>
      <c r="B30" s="19" t="s">
        <v>191</v>
      </c>
      <c r="C30" s="19" t="s">
        <v>34</v>
      </c>
      <c r="D30" s="18" t="s">
        <v>193</v>
      </c>
      <c r="E30" s="20">
        <v>2812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2812</v>
      </c>
    </row>
    <row r="31" spans="1:16" s="30" customFormat="1" ht="47.25">
      <c r="A31" s="25" t="s">
        <v>137</v>
      </c>
      <c r="B31" s="25"/>
      <c r="C31" s="25"/>
      <c r="D31" s="26" t="s">
        <v>251</v>
      </c>
      <c r="E31" s="21">
        <f>E32</f>
        <v>3062.4</v>
      </c>
      <c r="F31" s="21">
        <f t="shared" ref="F31:N31" si="4">F32</f>
        <v>1165</v>
      </c>
      <c r="G31" s="21">
        <f t="shared" si="4"/>
        <v>85.9</v>
      </c>
      <c r="H31" s="21">
        <f t="shared" si="4"/>
        <v>80</v>
      </c>
      <c r="I31" s="21">
        <f t="shared" si="4"/>
        <v>10</v>
      </c>
      <c r="J31" s="21"/>
      <c r="K31" s="21"/>
      <c r="L31" s="21">
        <f t="shared" si="4"/>
        <v>70</v>
      </c>
      <c r="M31" s="21">
        <f t="shared" si="4"/>
        <v>70</v>
      </c>
      <c r="N31" s="21">
        <f t="shared" si="4"/>
        <v>70</v>
      </c>
      <c r="O31" s="21">
        <f t="shared" si="3"/>
        <v>3142.4</v>
      </c>
    </row>
    <row r="32" spans="1:16" s="29" customFormat="1" ht="47.25">
      <c r="A32" s="25" t="s">
        <v>138</v>
      </c>
      <c r="B32" s="19"/>
      <c r="C32" s="19"/>
      <c r="D32" s="26" t="s">
        <v>251</v>
      </c>
      <c r="E32" s="21">
        <f>E33+E34</f>
        <v>3062.4</v>
      </c>
      <c r="F32" s="21">
        <f>F33+F34</f>
        <v>1165</v>
      </c>
      <c r="G32" s="21">
        <f>G33+G34</f>
        <v>85.9</v>
      </c>
      <c r="H32" s="21">
        <f>I32+L32</f>
        <v>80</v>
      </c>
      <c r="I32" s="21">
        <f>I33+I34</f>
        <v>10</v>
      </c>
      <c r="J32" s="21"/>
      <c r="K32" s="21"/>
      <c r="L32" s="21">
        <f>L33+L34</f>
        <v>70</v>
      </c>
      <c r="M32" s="21">
        <f>M33+M34</f>
        <v>70</v>
      </c>
      <c r="N32" s="21">
        <f>N33+N34</f>
        <v>70</v>
      </c>
      <c r="O32" s="21">
        <f t="shared" si="3"/>
        <v>3142.4</v>
      </c>
    </row>
    <row r="33" spans="1:18" s="29" customFormat="1" ht="78.75">
      <c r="A33" s="19" t="s">
        <v>139</v>
      </c>
      <c r="B33" s="19" t="s">
        <v>117</v>
      </c>
      <c r="C33" s="19" t="s">
        <v>32</v>
      </c>
      <c r="D33" s="18" t="s">
        <v>118</v>
      </c>
      <c r="E33" s="20">
        <v>1532.4</v>
      </c>
      <c r="F33" s="20">
        <f>955+210</f>
        <v>1165</v>
      </c>
      <c r="G33" s="20">
        <v>85.9</v>
      </c>
      <c r="H33" s="20">
        <f>I33+L33</f>
        <v>10</v>
      </c>
      <c r="I33" s="20">
        <v>10</v>
      </c>
      <c r="J33" s="20"/>
      <c r="K33" s="20"/>
      <c r="L33" s="20"/>
      <c r="M33" s="20"/>
      <c r="N33" s="20"/>
      <c r="O33" s="20">
        <f t="shared" si="3"/>
        <v>1542.4</v>
      </c>
    </row>
    <row r="34" spans="1:18" s="29" customFormat="1" ht="15.75">
      <c r="A34" s="19" t="s">
        <v>142</v>
      </c>
      <c r="B34" s="19" t="s">
        <v>99</v>
      </c>
      <c r="C34" s="19" t="s">
        <v>40</v>
      </c>
      <c r="D34" s="18" t="s">
        <v>121</v>
      </c>
      <c r="E34" s="20">
        <f>1030+500</f>
        <v>1530</v>
      </c>
      <c r="F34" s="20"/>
      <c r="G34" s="20"/>
      <c r="H34" s="20">
        <f>I34+L34</f>
        <v>70</v>
      </c>
      <c r="I34" s="20"/>
      <c r="J34" s="20"/>
      <c r="K34" s="20"/>
      <c r="L34" s="20">
        <v>70</v>
      </c>
      <c r="M34" s="20">
        <v>70</v>
      </c>
      <c r="N34" s="20">
        <v>70</v>
      </c>
      <c r="O34" s="20">
        <f t="shared" si="3"/>
        <v>1600</v>
      </c>
    </row>
    <row r="35" spans="1:18" s="30" customFormat="1" ht="51" customHeight="1">
      <c r="A35" s="25" t="s">
        <v>137</v>
      </c>
      <c r="B35" s="25"/>
      <c r="C35" s="25"/>
      <c r="D35" s="26" t="s">
        <v>17</v>
      </c>
      <c r="E35" s="21">
        <f>E36</f>
        <v>1860.4</v>
      </c>
      <c r="F35" s="21">
        <f>F36</f>
        <v>960</v>
      </c>
      <c r="G35" s="21">
        <f>G36</f>
        <v>32</v>
      </c>
      <c r="H35" s="21">
        <f t="shared" ref="H35:N35" si="5">H36</f>
        <v>0</v>
      </c>
      <c r="I35" s="21">
        <f t="shared" si="5"/>
        <v>0</v>
      </c>
      <c r="J35" s="21">
        <f t="shared" si="5"/>
        <v>0</v>
      </c>
      <c r="K35" s="21">
        <f t="shared" si="5"/>
        <v>0</v>
      </c>
      <c r="L35" s="21">
        <f t="shared" si="5"/>
        <v>0</v>
      </c>
      <c r="M35" s="21">
        <f t="shared" si="5"/>
        <v>0</v>
      </c>
      <c r="N35" s="21">
        <f t="shared" si="5"/>
        <v>0</v>
      </c>
      <c r="O35" s="21">
        <f t="shared" si="3"/>
        <v>1860.4</v>
      </c>
    </row>
    <row r="36" spans="1:18" s="30" customFormat="1" ht="32.25" customHeight="1">
      <c r="A36" s="25" t="s">
        <v>138</v>
      </c>
      <c r="B36" s="25"/>
      <c r="C36" s="25"/>
      <c r="D36" s="26" t="s">
        <v>17</v>
      </c>
      <c r="E36" s="21">
        <f>E37+E38</f>
        <v>1860.4</v>
      </c>
      <c r="F36" s="21">
        <f>F37+F38</f>
        <v>960</v>
      </c>
      <c r="G36" s="21">
        <f>G37+G38</f>
        <v>32</v>
      </c>
      <c r="H36" s="21">
        <f t="shared" ref="H36:N36" si="6">H37+H38</f>
        <v>0</v>
      </c>
      <c r="I36" s="21">
        <f t="shared" si="6"/>
        <v>0</v>
      </c>
      <c r="J36" s="21">
        <f t="shared" si="6"/>
        <v>0</v>
      </c>
      <c r="K36" s="21">
        <f t="shared" si="6"/>
        <v>0</v>
      </c>
      <c r="L36" s="21">
        <f t="shared" si="6"/>
        <v>0</v>
      </c>
      <c r="M36" s="21">
        <f t="shared" si="6"/>
        <v>0</v>
      </c>
      <c r="N36" s="21">
        <f t="shared" si="6"/>
        <v>0</v>
      </c>
      <c r="O36" s="21">
        <f t="shared" si="3"/>
        <v>1860.4</v>
      </c>
    </row>
    <row r="37" spans="1:18" s="29" customFormat="1" ht="78.75">
      <c r="A37" s="19" t="s">
        <v>139</v>
      </c>
      <c r="B37" s="19" t="s">
        <v>117</v>
      </c>
      <c r="C37" s="19" t="s">
        <v>32</v>
      </c>
      <c r="D37" s="18" t="s">
        <v>118</v>
      </c>
      <c r="E37" s="20">
        <v>1061.4000000000001</v>
      </c>
      <c r="F37" s="20">
        <f>787+173</f>
        <v>960</v>
      </c>
      <c r="G37" s="20">
        <v>32</v>
      </c>
      <c r="H37" s="20"/>
      <c r="I37" s="20"/>
      <c r="J37" s="20"/>
      <c r="K37" s="20"/>
      <c r="L37" s="20"/>
      <c r="M37" s="20"/>
      <c r="N37" s="20"/>
      <c r="O37" s="20">
        <f t="shared" si="3"/>
        <v>1061.4000000000001</v>
      </c>
    </row>
    <row r="38" spans="1:18" s="29" customFormat="1" ht="15.75">
      <c r="A38" s="19" t="s">
        <v>142</v>
      </c>
      <c r="B38" s="19" t="s">
        <v>99</v>
      </c>
      <c r="C38" s="19" t="s">
        <v>40</v>
      </c>
      <c r="D38" s="18" t="s">
        <v>121</v>
      </c>
      <c r="E38" s="20">
        <f>299+500</f>
        <v>799</v>
      </c>
      <c r="F38" s="20"/>
      <c r="G38" s="20"/>
      <c r="H38" s="20"/>
      <c r="I38" s="20"/>
      <c r="J38" s="20"/>
      <c r="K38" s="20"/>
      <c r="L38" s="20"/>
      <c r="M38" s="20"/>
      <c r="N38" s="20"/>
      <c r="O38" s="20">
        <f t="shared" si="3"/>
        <v>799</v>
      </c>
    </row>
    <row r="39" spans="1:18" s="30" customFormat="1" ht="29.25" customHeight="1">
      <c r="A39" s="25" t="s">
        <v>137</v>
      </c>
      <c r="B39" s="25"/>
      <c r="C39" s="25"/>
      <c r="D39" s="26" t="s">
        <v>19</v>
      </c>
      <c r="E39" s="21">
        <f t="shared" ref="E39:N39" si="7">E40</f>
        <v>3242.4</v>
      </c>
      <c r="F39" s="21">
        <f t="shared" si="7"/>
        <v>1078</v>
      </c>
      <c r="G39" s="21">
        <f t="shared" si="7"/>
        <v>52.2</v>
      </c>
      <c r="H39" s="21">
        <f t="shared" si="7"/>
        <v>30</v>
      </c>
      <c r="I39" s="21">
        <f t="shared" si="7"/>
        <v>10</v>
      </c>
      <c r="J39" s="21">
        <f t="shared" si="7"/>
        <v>0</v>
      </c>
      <c r="K39" s="21">
        <f t="shared" si="7"/>
        <v>0</v>
      </c>
      <c r="L39" s="21">
        <f t="shared" si="7"/>
        <v>20</v>
      </c>
      <c r="M39" s="21">
        <f t="shared" si="7"/>
        <v>20</v>
      </c>
      <c r="N39" s="21">
        <f t="shared" si="7"/>
        <v>20</v>
      </c>
      <c r="O39" s="21">
        <f t="shared" si="3"/>
        <v>3272.4</v>
      </c>
    </row>
    <row r="40" spans="1:18" s="30" customFormat="1" ht="36" customHeight="1">
      <c r="A40" s="25" t="s">
        <v>138</v>
      </c>
      <c r="B40" s="25"/>
      <c r="C40" s="25"/>
      <c r="D40" s="26" t="s">
        <v>19</v>
      </c>
      <c r="E40" s="21">
        <f>E41+E42</f>
        <v>3242.4</v>
      </c>
      <c r="F40" s="21">
        <f>F41</f>
        <v>1078</v>
      </c>
      <c r="G40" s="21">
        <f>G41</f>
        <v>52.2</v>
      </c>
      <c r="H40" s="21">
        <f>H41+H42</f>
        <v>30</v>
      </c>
      <c r="I40" s="21">
        <f t="shared" ref="I40:N40" si="8">I41+I42</f>
        <v>10</v>
      </c>
      <c r="J40" s="21">
        <f t="shared" si="8"/>
        <v>0</v>
      </c>
      <c r="K40" s="21">
        <f t="shared" si="8"/>
        <v>0</v>
      </c>
      <c r="L40" s="21">
        <f t="shared" si="8"/>
        <v>20</v>
      </c>
      <c r="M40" s="21">
        <f t="shared" si="8"/>
        <v>20</v>
      </c>
      <c r="N40" s="21">
        <f t="shared" si="8"/>
        <v>20</v>
      </c>
      <c r="O40" s="21">
        <f t="shared" si="3"/>
        <v>3272.4</v>
      </c>
    </row>
    <row r="41" spans="1:18" s="29" customFormat="1" ht="78.75">
      <c r="A41" s="19" t="s">
        <v>139</v>
      </c>
      <c r="B41" s="19" t="s">
        <v>117</v>
      </c>
      <c r="C41" s="19" t="s">
        <v>32</v>
      </c>
      <c r="D41" s="18" t="s">
        <v>118</v>
      </c>
      <c r="E41" s="20">
        <v>1322.4</v>
      </c>
      <c r="F41" s="20">
        <f>884+194</f>
        <v>1078</v>
      </c>
      <c r="G41" s="20">
        <v>52.2</v>
      </c>
      <c r="H41" s="24">
        <f>I41+L41</f>
        <v>30</v>
      </c>
      <c r="I41" s="24">
        <v>10</v>
      </c>
      <c r="J41" s="20"/>
      <c r="K41" s="20"/>
      <c r="L41" s="20">
        <v>20</v>
      </c>
      <c r="M41" s="20">
        <v>20</v>
      </c>
      <c r="N41" s="20">
        <v>20</v>
      </c>
      <c r="O41" s="20">
        <f t="shared" si="3"/>
        <v>1352.4</v>
      </c>
    </row>
    <row r="42" spans="1:18" s="29" customFormat="1" ht="15.75">
      <c r="A42" s="19" t="s">
        <v>142</v>
      </c>
      <c r="B42" s="19" t="s">
        <v>99</v>
      </c>
      <c r="C42" s="19" t="s">
        <v>40</v>
      </c>
      <c r="D42" s="18" t="s">
        <v>121</v>
      </c>
      <c r="E42" s="20">
        <f>1420+500</f>
        <v>1920</v>
      </c>
      <c r="F42" s="20"/>
      <c r="G42" s="20"/>
      <c r="H42" s="20"/>
      <c r="I42" s="20"/>
      <c r="J42" s="20"/>
      <c r="K42" s="20"/>
      <c r="L42" s="20"/>
      <c r="M42" s="20"/>
      <c r="N42" s="20"/>
      <c r="O42" s="20">
        <f t="shared" si="3"/>
        <v>1920</v>
      </c>
    </row>
    <row r="43" spans="1:18" s="30" customFormat="1" ht="31.5">
      <c r="A43" s="25" t="s">
        <v>122</v>
      </c>
      <c r="B43" s="25"/>
      <c r="C43" s="25"/>
      <c r="D43" s="26" t="s">
        <v>14</v>
      </c>
      <c r="E43" s="21">
        <f>E44</f>
        <v>225805.90000000002</v>
      </c>
      <c r="F43" s="21">
        <f t="shared" ref="F43:N43" si="9">F44</f>
        <v>174741.40000000002</v>
      </c>
      <c r="G43" s="21">
        <f t="shared" si="9"/>
        <v>22503.800000000003</v>
      </c>
      <c r="H43" s="21">
        <f t="shared" si="9"/>
        <v>17406.300999999999</v>
      </c>
      <c r="I43" s="21">
        <f t="shared" si="9"/>
        <v>9386.3009999999995</v>
      </c>
      <c r="J43" s="21">
        <f t="shared" si="9"/>
        <v>0</v>
      </c>
      <c r="K43" s="21">
        <f t="shared" si="9"/>
        <v>0</v>
      </c>
      <c r="L43" s="21">
        <f t="shared" si="9"/>
        <v>8020</v>
      </c>
      <c r="M43" s="21">
        <f t="shared" si="9"/>
        <v>8000</v>
      </c>
      <c r="N43" s="21">
        <f t="shared" si="9"/>
        <v>8000</v>
      </c>
      <c r="O43" s="21">
        <f t="shared" si="3"/>
        <v>243212.20100000003</v>
      </c>
    </row>
    <row r="44" spans="1:18" s="29" customFormat="1" ht="31.5">
      <c r="A44" s="25" t="s">
        <v>123</v>
      </c>
      <c r="B44" s="19"/>
      <c r="C44" s="19"/>
      <c r="D44" s="26" t="s">
        <v>14</v>
      </c>
      <c r="E44" s="21">
        <f>E45+E46+E47+E49+E51+E53+E54+E55+E56+E57+E58+E59+E60</f>
        <v>225805.90000000002</v>
      </c>
      <c r="F44" s="21">
        <f t="shared" ref="F44:N44" si="10">F45+F46+F47+F49+F51+F53+F54+F55+F56+F57+F58+F59+F60</f>
        <v>174741.40000000002</v>
      </c>
      <c r="G44" s="21">
        <f t="shared" si="10"/>
        <v>22503.800000000003</v>
      </c>
      <c r="H44" s="21">
        <f>I44+L44</f>
        <v>17406.300999999999</v>
      </c>
      <c r="I44" s="21">
        <f t="shared" si="10"/>
        <v>9386.3009999999995</v>
      </c>
      <c r="J44" s="21">
        <f t="shared" si="10"/>
        <v>0</v>
      </c>
      <c r="K44" s="21">
        <f t="shared" si="10"/>
        <v>0</v>
      </c>
      <c r="L44" s="21">
        <f t="shared" si="10"/>
        <v>8020</v>
      </c>
      <c r="M44" s="21">
        <f t="shared" si="10"/>
        <v>8000</v>
      </c>
      <c r="N44" s="21">
        <f t="shared" si="10"/>
        <v>8000</v>
      </c>
      <c r="O44" s="21">
        <f t="shared" si="3"/>
        <v>243212.20100000003</v>
      </c>
    </row>
    <row r="45" spans="1:18" s="29" customFormat="1" ht="47.25">
      <c r="A45" s="19" t="s">
        <v>125</v>
      </c>
      <c r="B45" s="19" t="s">
        <v>124</v>
      </c>
      <c r="C45" s="19" t="s">
        <v>32</v>
      </c>
      <c r="D45" s="27" t="s">
        <v>126</v>
      </c>
      <c r="E45" s="20">
        <v>1762.6</v>
      </c>
      <c r="F45" s="20">
        <f>1412+311</f>
        <v>1723</v>
      </c>
      <c r="G45" s="20">
        <v>21.7</v>
      </c>
      <c r="H45" s="20">
        <f t="shared" ref="H45:H60" si="11">I45+L45</f>
        <v>0</v>
      </c>
      <c r="I45" s="20"/>
      <c r="J45" s="20"/>
      <c r="K45" s="20"/>
      <c r="L45" s="20"/>
      <c r="M45" s="20"/>
      <c r="N45" s="20"/>
      <c r="O45" s="20">
        <f t="shared" si="3"/>
        <v>1762.6</v>
      </c>
    </row>
    <row r="46" spans="1:18" s="29" customFormat="1" ht="15.75">
      <c r="A46" s="19" t="s">
        <v>127</v>
      </c>
      <c r="B46" s="19" t="s">
        <v>42</v>
      </c>
      <c r="C46" s="19" t="s">
        <v>43</v>
      </c>
      <c r="D46" s="12" t="s">
        <v>128</v>
      </c>
      <c r="E46" s="28">
        <v>75595.600000000006</v>
      </c>
      <c r="F46" s="28">
        <f>44857.2+9868.6</f>
        <v>54725.799999999996</v>
      </c>
      <c r="G46" s="28">
        <v>10509.3</v>
      </c>
      <c r="H46" s="20">
        <f t="shared" si="11"/>
        <v>12024.9</v>
      </c>
      <c r="I46" s="28">
        <v>8924.9</v>
      </c>
      <c r="J46" s="28"/>
      <c r="K46" s="28"/>
      <c r="L46" s="28">
        <f>2400+700</f>
        <v>3100</v>
      </c>
      <c r="M46" s="28">
        <f>2400+700</f>
        <v>3100</v>
      </c>
      <c r="N46" s="28">
        <f>2400+700</f>
        <v>3100</v>
      </c>
      <c r="O46" s="20">
        <f t="shared" si="3"/>
        <v>87620.5</v>
      </c>
    </row>
    <row r="47" spans="1:18" s="29" customFormat="1" ht="78.75">
      <c r="A47" s="19" t="s">
        <v>129</v>
      </c>
      <c r="B47" s="19" t="s">
        <v>44</v>
      </c>
      <c r="C47" s="19" t="s">
        <v>45</v>
      </c>
      <c r="D47" s="27" t="s">
        <v>46</v>
      </c>
      <c r="E47" s="28">
        <v>106993.60000000001</v>
      </c>
      <c r="F47" s="28">
        <f>75279.3+16561.4</f>
        <v>91840.700000000012</v>
      </c>
      <c r="G47" s="28">
        <v>10334.1</v>
      </c>
      <c r="H47" s="20">
        <f t="shared" si="11"/>
        <v>3925.6</v>
      </c>
      <c r="I47" s="28">
        <v>295.60000000000002</v>
      </c>
      <c r="J47" s="28"/>
      <c r="K47" s="28"/>
      <c r="L47" s="28">
        <f>1630+2000</f>
        <v>3630</v>
      </c>
      <c r="M47" s="28">
        <f>1630+2000</f>
        <v>3630</v>
      </c>
      <c r="N47" s="28">
        <f>1630+2000</f>
        <v>3630</v>
      </c>
      <c r="O47" s="20">
        <f t="shared" si="3"/>
        <v>110919.20000000001</v>
      </c>
      <c r="Q47" s="51"/>
    </row>
    <row r="48" spans="1:18" s="29" customFormat="1" ht="63">
      <c r="A48" s="19"/>
      <c r="B48" s="19"/>
      <c r="C48" s="19"/>
      <c r="D48" s="12" t="s">
        <v>26</v>
      </c>
      <c r="E48" s="28">
        <v>73022.600000000006</v>
      </c>
      <c r="F48" s="28">
        <v>73022.600000000006</v>
      </c>
      <c r="G48" s="28"/>
      <c r="H48" s="20">
        <f t="shared" si="11"/>
        <v>0</v>
      </c>
      <c r="I48" s="28"/>
      <c r="J48" s="28"/>
      <c r="K48" s="28"/>
      <c r="L48" s="28"/>
      <c r="M48" s="28"/>
      <c r="N48" s="28"/>
      <c r="O48" s="20">
        <f t="shared" si="3"/>
        <v>73022.600000000006</v>
      </c>
      <c r="R48" s="52"/>
    </row>
    <row r="49" spans="1:18" s="29" customFormat="1" ht="31.5">
      <c r="A49" s="19" t="s">
        <v>130</v>
      </c>
      <c r="B49" s="19" t="s">
        <v>47</v>
      </c>
      <c r="C49" s="19" t="s">
        <v>45</v>
      </c>
      <c r="D49" s="27" t="s">
        <v>48</v>
      </c>
      <c r="E49" s="28">
        <v>761.8</v>
      </c>
      <c r="F49" s="28">
        <f>490.8+202.9</f>
        <v>693.7</v>
      </c>
      <c r="G49" s="28">
        <v>64</v>
      </c>
      <c r="H49" s="20">
        <f t="shared" si="11"/>
        <v>0</v>
      </c>
      <c r="I49" s="28"/>
      <c r="J49" s="28"/>
      <c r="K49" s="28"/>
      <c r="L49" s="28"/>
      <c r="M49" s="28"/>
      <c r="N49" s="28"/>
      <c r="O49" s="20">
        <f t="shared" si="3"/>
        <v>761.8</v>
      </c>
      <c r="R49" s="52"/>
    </row>
    <row r="50" spans="1:18" s="29" customFormat="1" ht="63">
      <c r="A50" s="19"/>
      <c r="B50" s="19"/>
      <c r="C50" s="19"/>
      <c r="D50" s="12" t="s">
        <v>26</v>
      </c>
      <c r="E50" s="28">
        <v>543.6</v>
      </c>
      <c r="F50" s="28">
        <v>543.6</v>
      </c>
      <c r="G50" s="28"/>
      <c r="H50" s="20">
        <f t="shared" si="11"/>
        <v>0</v>
      </c>
      <c r="I50" s="28"/>
      <c r="J50" s="28"/>
      <c r="K50" s="28"/>
      <c r="L50" s="28"/>
      <c r="M50" s="28"/>
      <c r="N50" s="28"/>
      <c r="O50" s="20">
        <f t="shared" si="3"/>
        <v>543.6</v>
      </c>
      <c r="R50" s="52"/>
    </row>
    <row r="51" spans="1:18" s="29" customFormat="1" ht="94.5">
      <c r="A51" s="19" t="s">
        <v>131</v>
      </c>
      <c r="B51" s="19" t="s">
        <v>76</v>
      </c>
      <c r="C51" s="19" t="s">
        <v>49</v>
      </c>
      <c r="D51" s="27" t="s">
        <v>107</v>
      </c>
      <c r="E51" s="28">
        <v>8280.4</v>
      </c>
      <c r="F51" s="28">
        <f>5752.3+1265.5</f>
        <v>7017.8</v>
      </c>
      <c r="G51" s="28">
        <v>624.20000000000005</v>
      </c>
      <c r="H51" s="20">
        <f t="shared" si="11"/>
        <v>300</v>
      </c>
      <c r="I51" s="28"/>
      <c r="J51" s="28"/>
      <c r="K51" s="28"/>
      <c r="L51" s="28">
        <v>300</v>
      </c>
      <c r="M51" s="28">
        <v>300</v>
      </c>
      <c r="N51" s="28">
        <v>300</v>
      </c>
      <c r="O51" s="20">
        <f t="shared" si="3"/>
        <v>8580.4</v>
      </c>
    </row>
    <row r="52" spans="1:18" s="29" customFormat="1" ht="63">
      <c r="A52" s="19"/>
      <c r="B52" s="19"/>
      <c r="C52" s="19"/>
      <c r="D52" s="12" t="s">
        <v>26</v>
      </c>
      <c r="E52" s="28">
        <v>6002.5</v>
      </c>
      <c r="F52" s="28">
        <v>6002.5</v>
      </c>
      <c r="G52" s="28"/>
      <c r="H52" s="20">
        <f t="shared" si="11"/>
        <v>0</v>
      </c>
      <c r="I52" s="28"/>
      <c r="J52" s="28"/>
      <c r="K52" s="28"/>
      <c r="L52" s="28"/>
      <c r="M52" s="28"/>
      <c r="N52" s="28"/>
      <c r="O52" s="20">
        <f t="shared" si="3"/>
        <v>6002.5</v>
      </c>
    </row>
    <row r="53" spans="1:18" s="29" customFormat="1" ht="47.25">
      <c r="A53" s="19" t="s">
        <v>132</v>
      </c>
      <c r="B53" s="19" t="s">
        <v>33</v>
      </c>
      <c r="C53" s="19" t="s">
        <v>50</v>
      </c>
      <c r="D53" s="27" t="s">
        <v>51</v>
      </c>
      <c r="E53" s="28">
        <v>11228</v>
      </c>
      <c r="F53" s="28">
        <f>7712.8+1696.8</f>
        <v>9409.6</v>
      </c>
      <c r="G53" s="28">
        <v>377.7</v>
      </c>
      <c r="H53" s="20">
        <f t="shared" si="11"/>
        <v>1155.8</v>
      </c>
      <c r="I53" s="28">
        <v>165.8</v>
      </c>
      <c r="J53" s="28"/>
      <c r="K53" s="28"/>
      <c r="L53" s="28">
        <f>20+970</f>
        <v>990</v>
      </c>
      <c r="M53" s="28">
        <v>970</v>
      </c>
      <c r="N53" s="28">
        <v>970</v>
      </c>
      <c r="O53" s="20">
        <f t="shared" si="3"/>
        <v>12383.8</v>
      </c>
    </row>
    <row r="54" spans="1:18" s="29" customFormat="1" ht="31.5">
      <c r="A54" s="19" t="s">
        <v>135</v>
      </c>
      <c r="B54" s="19" t="s">
        <v>133</v>
      </c>
      <c r="C54" s="19" t="s">
        <v>52</v>
      </c>
      <c r="D54" s="12" t="s">
        <v>134</v>
      </c>
      <c r="E54" s="28">
        <v>180.5</v>
      </c>
      <c r="F54" s="28"/>
      <c r="G54" s="28"/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180.5</v>
      </c>
    </row>
    <row r="55" spans="1:18" s="29" customFormat="1" ht="31.5">
      <c r="A55" s="19" t="s">
        <v>151</v>
      </c>
      <c r="B55" s="19" t="s">
        <v>150</v>
      </c>
      <c r="C55" s="19" t="s">
        <v>53</v>
      </c>
      <c r="D55" s="27" t="s">
        <v>152</v>
      </c>
      <c r="E55" s="28">
        <f>1827.8-315.1</f>
        <v>1512.6999999999998</v>
      </c>
      <c r="F55" s="28">
        <f>1358.3+298.8-315.1</f>
        <v>1342</v>
      </c>
      <c r="G55" s="28">
        <v>26.2</v>
      </c>
      <c r="H55" s="20">
        <f t="shared" si="11"/>
        <v>0</v>
      </c>
      <c r="I55" s="28"/>
      <c r="J55" s="28"/>
      <c r="K55" s="28"/>
      <c r="L55" s="28"/>
      <c r="M55" s="28"/>
      <c r="N55" s="28"/>
      <c r="O55" s="20">
        <f t="shared" si="3"/>
        <v>1512.6999999999998</v>
      </c>
    </row>
    <row r="56" spans="1:18" s="29" customFormat="1" ht="31.5">
      <c r="A56" s="19" t="s">
        <v>285</v>
      </c>
      <c r="B56" s="19" t="s">
        <v>284</v>
      </c>
      <c r="C56" s="19" t="s">
        <v>53</v>
      </c>
      <c r="D56" s="27" t="s">
        <v>324</v>
      </c>
      <c r="E56" s="28">
        <f>2705.8-1827.8+2313.9+1584.5+315.1</f>
        <v>5091.5000000000009</v>
      </c>
      <c r="F56" s="28">
        <f>2073.1+456.1-1657.1+812.7+178.8+1763.4+388+315.1</f>
        <v>4330.1000000000004</v>
      </c>
      <c r="G56" s="28">
        <f>46.6+235.1</f>
        <v>281.7</v>
      </c>
      <c r="H56" s="20">
        <f t="shared" si="11"/>
        <v>1E-3</v>
      </c>
      <c r="I56" s="28">
        <v>1E-3</v>
      </c>
      <c r="J56" s="28"/>
      <c r="K56" s="28"/>
      <c r="L56" s="28"/>
      <c r="M56" s="28"/>
      <c r="N56" s="28"/>
      <c r="O56" s="20">
        <f t="shared" si="3"/>
        <v>5091.5010000000011</v>
      </c>
    </row>
    <row r="57" spans="1:18" s="29" customFormat="1" ht="15.75">
      <c r="A57" s="19" t="s">
        <v>325</v>
      </c>
      <c r="B57" s="19" t="s">
        <v>326</v>
      </c>
      <c r="C57" s="19" t="s">
        <v>53</v>
      </c>
      <c r="D57" s="27" t="s">
        <v>327</v>
      </c>
      <c r="E57" s="28">
        <v>40.9</v>
      </c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29" customFormat="1" ht="78.75">
      <c r="A58" s="19" t="s">
        <v>136</v>
      </c>
      <c r="B58" s="19" t="s">
        <v>61</v>
      </c>
      <c r="C58" s="19" t="s">
        <v>54</v>
      </c>
      <c r="D58" s="12" t="s">
        <v>55</v>
      </c>
      <c r="E58" s="20">
        <v>1031.7</v>
      </c>
      <c r="F58" s="20"/>
      <c r="G58" s="20"/>
      <c r="H58" s="20">
        <f t="shared" si="11"/>
        <v>0</v>
      </c>
      <c r="I58" s="20"/>
      <c r="J58" s="20"/>
      <c r="K58" s="20"/>
      <c r="L58" s="20"/>
      <c r="M58" s="20"/>
      <c r="N58" s="20"/>
      <c r="O58" s="20">
        <f t="shared" si="3"/>
        <v>1031.7</v>
      </c>
    </row>
    <row r="59" spans="1:18" s="29" customFormat="1" ht="31.5">
      <c r="A59" s="19" t="s">
        <v>321</v>
      </c>
      <c r="B59" s="19" t="s">
        <v>318</v>
      </c>
      <c r="C59" s="19" t="s">
        <v>33</v>
      </c>
      <c r="D59" s="27" t="s">
        <v>319</v>
      </c>
      <c r="E59" s="20">
        <v>9000.4</v>
      </c>
      <c r="F59" s="20"/>
      <c r="G59" s="20"/>
      <c r="H59" s="20">
        <f t="shared" si="11"/>
        <v>0</v>
      </c>
      <c r="I59" s="20"/>
      <c r="J59" s="20"/>
      <c r="K59" s="20"/>
      <c r="L59" s="20"/>
      <c r="M59" s="20"/>
      <c r="N59" s="20"/>
      <c r="O59" s="20">
        <f t="shared" si="3"/>
        <v>9000.4</v>
      </c>
    </row>
    <row r="60" spans="1:18" s="29" customFormat="1" ht="47.25">
      <c r="A60" s="19" t="s">
        <v>143</v>
      </c>
      <c r="B60" s="19" t="s">
        <v>110</v>
      </c>
      <c r="C60" s="19" t="s">
        <v>56</v>
      </c>
      <c r="D60" s="12" t="s">
        <v>57</v>
      </c>
      <c r="E60" s="28">
        <v>4326.2</v>
      </c>
      <c r="F60" s="28">
        <f>2998.9+659.8</f>
        <v>3658.7</v>
      </c>
      <c r="G60" s="28">
        <v>264.89999999999998</v>
      </c>
      <c r="H60" s="20">
        <f t="shared" si="11"/>
        <v>0</v>
      </c>
      <c r="I60" s="28"/>
      <c r="J60" s="28"/>
      <c r="K60" s="28"/>
      <c r="L60" s="28"/>
      <c r="M60" s="28"/>
      <c r="N60" s="28"/>
      <c r="O60" s="20">
        <f t="shared" si="3"/>
        <v>4326.2</v>
      </c>
    </row>
    <row r="61" spans="1:18" s="30" customFormat="1" ht="46.5" customHeight="1">
      <c r="A61" s="25" t="s">
        <v>144</v>
      </c>
      <c r="B61" s="25"/>
      <c r="C61" s="25"/>
      <c r="D61" s="26" t="s">
        <v>20</v>
      </c>
      <c r="E61" s="21">
        <f>E62</f>
        <v>139051.50000000003</v>
      </c>
      <c r="F61" s="21">
        <f t="shared" ref="F61:N61" si="12">F62</f>
        <v>14729.1</v>
      </c>
      <c r="G61" s="21">
        <f t="shared" si="12"/>
        <v>403.6</v>
      </c>
      <c r="H61" s="21">
        <f t="shared" si="12"/>
        <v>50</v>
      </c>
      <c r="I61" s="21">
        <f t="shared" si="12"/>
        <v>0</v>
      </c>
      <c r="J61" s="21">
        <f t="shared" si="12"/>
        <v>0</v>
      </c>
      <c r="K61" s="21">
        <f t="shared" si="12"/>
        <v>0</v>
      </c>
      <c r="L61" s="21">
        <f t="shared" si="12"/>
        <v>50</v>
      </c>
      <c r="M61" s="21">
        <f t="shared" si="12"/>
        <v>36</v>
      </c>
      <c r="N61" s="21">
        <f t="shared" si="12"/>
        <v>36</v>
      </c>
      <c r="O61" s="21">
        <f t="shared" si="3"/>
        <v>139101.50000000003</v>
      </c>
    </row>
    <row r="62" spans="1:18" s="29" customFormat="1" ht="31.5" customHeight="1">
      <c r="A62" s="25" t="s">
        <v>145</v>
      </c>
      <c r="B62" s="19"/>
      <c r="C62" s="19"/>
      <c r="D62" s="26" t="s">
        <v>20</v>
      </c>
      <c r="E62" s="21">
        <f>E63+E82+E83+E84+E80+E85+E64+E65+E66+E67+E68+E69+E70+E71+E72+E73+E74+E75+E76+E77+E79+E81+E78</f>
        <v>139051.50000000003</v>
      </c>
      <c r="F62" s="21">
        <f t="shared" ref="F62:N62" si="13">F63+F82+F83+F84+F80+F85+F64+F65+F66+F67+F68+F69+F70+F71+F72+F73+F74+F75+F76+F77+F79+F81</f>
        <v>14729.1</v>
      </c>
      <c r="G62" s="21">
        <f t="shared" si="13"/>
        <v>403.6</v>
      </c>
      <c r="H62" s="21">
        <f>I62+L62</f>
        <v>50</v>
      </c>
      <c r="I62" s="21">
        <f t="shared" si="13"/>
        <v>0</v>
      </c>
      <c r="J62" s="21">
        <f t="shared" si="13"/>
        <v>0</v>
      </c>
      <c r="K62" s="21">
        <f t="shared" si="13"/>
        <v>0</v>
      </c>
      <c r="L62" s="21">
        <f t="shared" si="13"/>
        <v>50</v>
      </c>
      <c r="M62" s="21">
        <f t="shared" si="13"/>
        <v>36</v>
      </c>
      <c r="N62" s="21">
        <f t="shared" si="13"/>
        <v>36</v>
      </c>
      <c r="O62" s="21">
        <f t="shared" si="3"/>
        <v>139101.50000000003</v>
      </c>
    </row>
    <row r="63" spans="1:18" s="29" customFormat="1" ht="53.25" customHeight="1">
      <c r="A63" s="19" t="s">
        <v>146</v>
      </c>
      <c r="B63" s="19" t="s">
        <v>124</v>
      </c>
      <c r="C63" s="19" t="s">
        <v>32</v>
      </c>
      <c r="D63" s="18" t="s">
        <v>126</v>
      </c>
      <c r="E63" s="20">
        <v>8717.1</v>
      </c>
      <c r="F63" s="20">
        <f>6646+1462</f>
        <v>8108</v>
      </c>
      <c r="G63" s="20">
        <v>241.9</v>
      </c>
      <c r="H63" s="20">
        <f>I63+L63</f>
        <v>36</v>
      </c>
      <c r="I63" s="20"/>
      <c r="J63" s="20"/>
      <c r="K63" s="20"/>
      <c r="L63" s="20">
        <v>36</v>
      </c>
      <c r="M63" s="20">
        <v>36</v>
      </c>
      <c r="N63" s="20">
        <v>36</v>
      </c>
      <c r="O63" s="20">
        <f t="shared" si="3"/>
        <v>8753.1</v>
      </c>
    </row>
    <row r="64" spans="1:18" s="15" customFormat="1" ht="47.25">
      <c r="A64" s="50" t="s">
        <v>220</v>
      </c>
      <c r="B64" s="50" t="s">
        <v>72</v>
      </c>
      <c r="C64" s="50" t="s">
        <v>47</v>
      </c>
      <c r="D64" s="12" t="s">
        <v>219</v>
      </c>
      <c r="E64" s="53">
        <v>8610.7000000000007</v>
      </c>
      <c r="F64" s="53"/>
      <c r="G64" s="53"/>
      <c r="H64" s="49"/>
      <c r="I64" s="53"/>
      <c r="J64" s="53"/>
      <c r="K64" s="53"/>
      <c r="L64" s="53"/>
      <c r="M64" s="53"/>
      <c r="N64" s="53"/>
      <c r="O64" s="53">
        <f t="shared" si="3"/>
        <v>8610.7000000000007</v>
      </c>
    </row>
    <row r="65" spans="1:15" s="15" customFormat="1" ht="47.25">
      <c r="A65" s="50" t="s">
        <v>221</v>
      </c>
      <c r="B65" s="50" t="s">
        <v>75</v>
      </c>
      <c r="C65" s="50" t="s">
        <v>47</v>
      </c>
      <c r="D65" s="12" t="s">
        <v>91</v>
      </c>
      <c r="E65" s="53">
        <v>28827</v>
      </c>
      <c r="F65" s="53"/>
      <c r="G65" s="53"/>
      <c r="H65" s="49"/>
      <c r="I65" s="53"/>
      <c r="J65" s="53"/>
      <c r="K65" s="53"/>
      <c r="L65" s="53"/>
      <c r="M65" s="53"/>
      <c r="N65" s="53"/>
      <c r="O65" s="53">
        <f t="shared" si="3"/>
        <v>28827</v>
      </c>
    </row>
    <row r="66" spans="1:15" s="15" customFormat="1" ht="63">
      <c r="A66" s="50" t="s">
        <v>223</v>
      </c>
      <c r="B66" s="50" t="s">
        <v>73</v>
      </c>
      <c r="C66" s="50" t="s">
        <v>47</v>
      </c>
      <c r="D66" s="12" t="s">
        <v>222</v>
      </c>
      <c r="E66" s="53">
        <v>85</v>
      </c>
      <c r="F66" s="53"/>
      <c r="G66" s="53"/>
      <c r="H66" s="49"/>
      <c r="I66" s="53"/>
      <c r="J66" s="53"/>
      <c r="K66" s="53"/>
      <c r="L66" s="53"/>
      <c r="M66" s="53"/>
      <c r="N66" s="53"/>
      <c r="O66" s="53">
        <f t="shared" si="3"/>
        <v>85</v>
      </c>
    </row>
    <row r="67" spans="1:15" s="15" customFormat="1" ht="63">
      <c r="A67" s="50" t="s">
        <v>225</v>
      </c>
      <c r="B67" s="50" t="s">
        <v>224</v>
      </c>
      <c r="C67" s="50" t="s">
        <v>68</v>
      </c>
      <c r="D67" s="12" t="s">
        <v>92</v>
      </c>
      <c r="E67" s="53">
        <v>170</v>
      </c>
      <c r="F67" s="53"/>
      <c r="G67" s="53"/>
      <c r="H67" s="49"/>
      <c r="I67" s="53"/>
      <c r="J67" s="53"/>
      <c r="K67" s="53"/>
      <c r="L67" s="53"/>
      <c r="M67" s="53"/>
      <c r="N67" s="53"/>
      <c r="O67" s="53">
        <f t="shared" si="3"/>
        <v>170</v>
      </c>
    </row>
    <row r="68" spans="1:15" s="15" customFormat="1" ht="31.5">
      <c r="A68" s="50" t="s">
        <v>227</v>
      </c>
      <c r="B68" s="50" t="s">
        <v>74</v>
      </c>
      <c r="C68" s="50" t="s">
        <v>47</v>
      </c>
      <c r="D68" s="12" t="s">
        <v>226</v>
      </c>
      <c r="E68" s="53">
        <v>309</v>
      </c>
      <c r="F68" s="53"/>
      <c r="G68" s="53"/>
      <c r="H68" s="49"/>
      <c r="I68" s="53"/>
      <c r="J68" s="53"/>
      <c r="K68" s="53"/>
      <c r="L68" s="53"/>
      <c r="M68" s="53"/>
      <c r="N68" s="53"/>
      <c r="O68" s="53">
        <f t="shared" si="3"/>
        <v>309</v>
      </c>
    </row>
    <row r="69" spans="1:15" s="15" customFormat="1" ht="31.5">
      <c r="A69" s="50" t="s">
        <v>228</v>
      </c>
      <c r="B69" s="50" t="s">
        <v>229</v>
      </c>
      <c r="C69" s="50" t="s">
        <v>76</v>
      </c>
      <c r="D69" s="12" t="s">
        <v>77</v>
      </c>
      <c r="E69" s="53">
        <v>220</v>
      </c>
      <c r="F69" s="53"/>
      <c r="G69" s="53"/>
      <c r="H69" s="49"/>
      <c r="I69" s="53"/>
      <c r="J69" s="53"/>
      <c r="K69" s="53"/>
      <c r="L69" s="53"/>
      <c r="M69" s="53"/>
      <c r="N69" s="53"/>
      <c r="O69" s="53">
        <f t="shared" si="3"/>
        <v>220</v>
      </c>
    </row>
    <row r="70" spans="1:15" ht="30">
      <c r="A70" s="50" t="s">
        <v>230</v>
      </c>
      <c r="B70" s="50" t="s">
        <v>78</v>
      </c>
      <c r="C70" s="50" t="s">
        <v>54</v>
      </c>
      <c r="D70" s="54" t="s">
        <v>79</v>
      </c>
      <c r="E70" s="53">
        <v>726.6</v>
      </c>
      <c r="F70" s="53"/>
      <c r="G70" s="53"/>
      <c r="H70" s="49"/>
      <c r="I70" s="53"/>
      <c r="J70" s="53"/>
      <c r="K70" s="53"/>
      <c r="L70" s="53"/>
      <c r="M70" s="53"/>
      <c r="N70" s="53"/>
      <c r="O70" s="53">
        <f t="shared" si="3"/>
        <v>726.6</v>
      </c>
    </row>
    <row r="71" spans="1:15">
      <c r="A71" s="50" t="s">
        <v>231</v>
      </c>
      <c r="B71" s="50" t="s">
        <v>80</v>
      </c>
      <c r="C71" s="50" t="s">
        <v>54</v>
      </c>
      <c r="D71" s="55" t="s">
        <v>89</v>
      </c>
      <c r="E71" s="56">
        <v>181.3</v>
      </c>
      <c r="F71" s="53"/>
      <c r="G71" s="53"/>
      <c r="H71" s="49"/>
      <c r="I71" s="53"/>
      <c r="J71" s="53"/>
      <c r="K71" s="53"/>
      <c r="L71" s="53"/>
      <c r="M71" s="53"/>
      <c r="N71" s="53"/>
      <c r="O71" s="53">
        <f t="shared" si="3"/>
        <v>181.3</v>
      </c>
    </row>
    <row r="72" spans="1:15">
      <c r="A72" s="50" t="s">
        <v>232</v>
      </c>
      <c r="B72" s="50" t="s">
        <v>81</v>
      </c>
      <c r="C72" s="50" t="s">
        <v>54</v>
      </c>
      <c r="D72" s="54" t="s">
        <v>82</v>
      </c>
      <c r="E72" s="53">
        <f>43161.5-3600</f>
        <v>39561.5</v>
      </c>
      <c r="F72" s="53"/>
      <c r="G72" s="53"/>
      <c r="H72" s="49"/>
      <c r="I72" s="53"/>
      <c r="J72" s="53"/>
      <c r="K72" s="53"/>
      <c r="L72" s="53"/>
      <c r="M72" s="53"/>
      <c r="N72" s="53"/>
      <c r="O72" s="53">
        <f t="shared" si="3"/>
        <v>39561.5</v>
      </c>
    </row>
    <row r="73" spans="1:15" ht="30">
      <c r="A73" s="50" t="s">
        <v>233</v>
      </c>
      <c r="B73" s="50" t="s">
        <v>83</v>
      </c>
      <c r="C73" s="50" t="s">
        <v>54</v>
      </c>
      <c r="D73" s="54" t="s">
        <v>84</v>
      </c>
      <c r="E73" s="53">
        <v>4537.8</v>
      </c>
      <c r="F73" s="53"/>
      <c r="G73" s="53"/>
      <c r="H73" s="49"/>
      <c r="I73" s="53"/>
      <c r="J73" s="53"/>
      <c r="K73" s="53"/>
      <c r="L73" s="53"/>
      <c r="M73" s="53"/>
      <c r="N73" s="53"/>
      <c r="O73" s="53">
        <f t="shared" si="3"/>
        <v>4537.8</v>
      </c>
    </row>
    <row r="74" spans="1:15">
      <c r="A74" s="50" t="s">
        <v>234</v>
      </c>
      <c r="B74" s="50" t="s">
        <v>87</v>
      </c>
      <c r="C74" s="50" t="s">
        <v>54</v>
      </c>
      <c r="D74" s="54" t="s">
        <v>86</v>
      </c>
      <c r="E74" s="53">
        <v>7502.6</v>
      </c>
      <c r="F74" s="53"/>
      <c r="G74" s="53"/>
      <c r="H74" s="49"/>
      <c r="I74" s="53"/>
      <c r="J74" s="53"/>
      <c r="K74" s="53"/>
      <c r="L74" s="53"/>
      <c r="M74" s="53"/>
      <c r="N74" s="53"/>
      <c r="O74" s="53">
        <f t="shared" si="3"/>
        <v>7502.6</v>
      </c>
    </row>
    <row r="75" spans="1:15">
      <c r="A75" s="50" t="s">
        <v>235</v>
      </c>
      <c r="B75" s="50" t="s">
        <v>85</v>
      </c>
      <c r="C75" s="50" t="s">
        <v>54</v>
      </c>
      <c r="D75" s="54" t="s">
        <v>116</v>
      </c>
      <c r="E75" s="53">
        <v>383.3</v>
      </c>
      <c r="F75" s="53"/>
      <c r="G75" s="53"/>
      <c r="H75" s="49"/>
      <c r="I75" s="53"/>
      <c r="J75" s="53"/>
      <c r="K75" s="53"/>
      <c r="L75" s="53"/>
      <c r="M75" s="53"/>
      <c r="N75" s="53"/>
      <c r="O75" s="53">
        <f t="shared" si="3"/>
        <v>383.3</v>
      </c>
    </row>
    <row r="76" spans="1:15" ht="30">
      <c r="A76" s="50" t="s">
        <v>236</v>
      </c>
      <c r="B76" s="50" t="s">
        <v>88</v>
      </c>
      <c r="C76" s="50" t="s">
        <v>54</v>
      </c>
      <c r="D76" s="54" t="s">
        <v>90</v>
      </c>
      <c r="E76" s="53">
        <v>6280.2</v>
      </c>
      <c r="F76" s="53"/>
      <c r="G76" s="53"/>
      <c r="H76" s="49"/>
      <c r="I76" s="53"/>
      <c r="J76" s="53"/>
      <c r="K76" s="53"/>
      <c r="L76" s="53"/>
      <c r="M76" s="53"/>
      <c r="N76" s="53"/>
      <c r="O76" s="56">
        <f t="shared" si="3"/>
        <v>6280.2</v>
      </c>
    </row>
    <row r="77" spans="1:15" ht="47.25">
      <c r="A77" s="50" t="s">
        <v>302</v>
      </c>
      <c r="B77" s="50" t="s">
        <v>304</v>
      </c>
      <c r="C77" s="50" t="s">
        <v>42</v>
      </c>
      <c r="D77" s="12" t="s">
        <v>306</v>
      </c>
      <c r="E77" s="53">
        <v>9025.4</v>
      </c>
      <c r="F77" s="53"/>
      <c r="G77" s="53"/>
      <c r="H77" s="49"/>
      <c r="I77" s="53"/>
      <c r="J77" s="53"/>
      <c r="K77" s="53"/>
      <c r="L77" s="53"/>
      <c r="M77" s="53"/>
      <c r="N77" s="53"/>
      <c r="O77" s="53">
        <f t="shared" si="3"/>
        <v>9025.4</v>
      </c>
    </row>
    <row r="78" spans="1:15" ht="63">
      <c r="A78" s="50" t="s">
        <v>302</v>
      </c>
      <c r="B78" s="50" t="s">
        <v>328</v>
      </c>
      <c r="C78" s="50" t="s">
        <v>42</v>
      </c>
      <c r="D78" s="12" t="s">
        <v>329</v>
      </c>
      <c r="E78" s="53">
        <v>3600</v>
      </c>
      <c r="F78" s="53"/>
      <c r="G78" s="53"/>
      <c r="H78" s="49"/>
      <c r="I78" s="53"/>
      <c r="J78" s="53"/>
      <c r="K78" s="53"/>
      <c r="L78" s="53"/>
      <c r="M78" s="53"/>
      <c r="N78" s="53"/>
      <c r="O78" s="53">
        <f t="shared" si="3"/>
        <v>3600</v>
      </c>
    </row>
    <row r="79" spans="1:15" ht="47.25">
      <c r="A79" s="50" t="s">
        <v>303</v>
      </c>
      <c r="B79" s="50" t="s">
        <v>305</v>
      </c>
      <c r="C79" s="50" t="s">
        <v>42</v>
      </c>
      <c r="D79" s="12" t="s">
        <v>307</v>
      </c>
      <c r="E79" s="53">
        <v>1001.3</v>
      </c>
      <c r="F79" s="49"/>
      <c r="G79" s="49"/>
      <c r="H79" s="49"/>
      <c r="I79" s="49"/>
      <c r="J79" s="49"/>
      <c r="K79" s="49"/>
      <c r="L79" s="49"/>
      <c r="M79" s="49"/>
      <c r="N79" s="49"/>
      <c r="O79" s="49">
        <f t="shared" si="3"/>
        <v>1001.3</v>
      </c>
    </row>
    <row r="80" spans="1:15" ht="63">
      <c r="A80" s="50" t="s">
        <v>250</v>
      </c>
      <c r="B80" s="50" t="s">
        <v>249</v>
      </c>
      <c r="C80" s="50" t="s">
        <v>44</v>
      </c>
      <c r="D80" s="12" t="s">
        <v>308</v>
      </c>
      <c r="E80" s="53">
        <v>5348.1</v>
      </c>
      <c r="F80" s="53">
        <f>4242.5+943.2</f>
        <v>5185.7</v>
      </c>
      <c r="G80" s="53">
        <v>52.4</v>
      </c>
      <c r="H80" s="53">
        <f>I80+L80</f>
        <v>14</v>
      </c>
      <c r="I80" s="53"/>
      <c r="J80" s="53"/>
      <c r="K80" s="53"/>
      <c r="L80" s="53">
        <v>14</v>
      </c>
      <c r="M80" s="53"/>
      <c r="N80" s="53"/>
      <c r="O80" s="53">
        <f t="shared" si="3"/>
        <v>5362.1</v>
      </c>
    </row>
    <row r="81" spans="1:15" s="15" customFormat="1" ht="47.25">
      <c r="A81" s="50" t="s">
        <v>148</v>
      </c>
      <c r="B81" s="50" t="s">
        <v>147</v>
      </c>
      <c r="C81" s="50" t="s">
        <v>54</v>
      </c>
      <c r="D81" s="12" t="s">
        <v>149</v>
      </c>
      <c r="E81" s="57">
        <f>1630.3+1417.9</f>
        <v>3048.2</v>
      </c>
      <c r="F81" s="57">
        <f>1172.5+262.9</f>
        <v>1435.4</v>
      </c>
      <c r="G81" s="57">
        <v>109.3</v>
      </c>
      <c r="H81" s="49"/>
      <c r="I81" s="53"/>
      <c r="J81" s="53"/>
      <c r="K81" s="53"/>
      <c r="L81" s="53"/>
      <c r="M81" s="53"/>
      <c r="N81" s="53"/>
      <c r="O81" s="53">
        <f t="shared" si="3"/>
        <v>3048.2</v>
      </c>
    </row>
    <row r="82" spans="1:15" ht="94.5">
      <c r="A82" s="50" t="s">
        <v>309</v>
      </c>
      <c r="B82" s="50" t="s">
        <v>310</v>
      </c>
      <c r="C82" s="50" t="s">
        <v>42</v>
      </c>
      <c r="D82" s="12" t="s">
        <v>311</v>
      </c>
      <c r="E82" s="57">
        <v>520</v>
      </c>
      <c r="F82" s="57"/>
      <c r="G82" s="57"/>
      <c r="H82" s="53"/>
      <c r="I82" s="53"/>
      <c r="J82" s="53"/>
      <c r="K82" s="53"/>
      <c r="L82" s="53"/>
      <c r="M82" s="53"/>
      <c r="N82" s="53"/>
      <c r="O82" s="53">
        <v>520</v>
      </c>
    </row>
    <row r="83" spans="1:15" ht="94.5">
      <c r="A83" s="50" t="s">
        <v>312</v>
      </c>
      <c r="B83" s="50" t="s">
        <v>313</v>
      </c>
      <c r="C83" s="50" t="s">
        <v>68</v>
      </c>
      <c r="D83" s="12" t="s">
        <v>314</v>
      </c>
      <c r="E83" s="53">
        <v>850</v>
      </c>
      <c r="F83" s="53"/>
      <c r="G83" s="53"/>
      <c r="H83" s="53"/>
      <c r="I83" s="53"/>
      <c r="J83" s="53"/>
      <c r="K83" s="53"/>
      <c r="L83" s="53"/>
      <c r="M83" s="53"/>
      <c r="N83" s="53"/>
      <c r="O83" s="53">
        <f t="shared" si="3"/>
        <v>850</v>
      </c>
    </row>
    <row r="84" spans="1:15" ht="47.25">
      <c r="A84" s="50" t="s">
        <v>315</v>
      </c>
      <c r="B84" s="50" t="s">
        <v>316</v>
      </c>
      <c r="C84" s="50" t="s">
        <v>47</v>
      </c>
      <c r="D84" s="12" t="s">
        <v>317</v>
      </c>
      <c r="E84" s="53">
        <f>50</f>
        <v>50</v>
      </c>
      <c r="F84" s="53"/>
      <c r="G84" s="53"/>
      <c r="H84" s="53"/>
      <c r="I84" s="53"/>
      <c r="J84" s="53"/>
      <c r="K84" s="53"/>
      <c r="L84" s="53"/>
      <c r="M84" s="53"/>
      <c r="N84" s="53"/>
      <c r="O84" s="53">
        <f t="shared" si="3"/>
        <v>50</v>
      </c>
    </row>
    <row r="85" spans="1:15" ht="31.5">
      <c r="A85" s="50" t="s">
        <v>322</v>
      </c>
      <c r="B85" s="50" t="s">
        <v>318</v>
      </c>
      <c r="C85" s="50" t="s">
        <v>33</v>
      </c>
      <c r="D85" s="12" t="s">
        <v>319</v>
      </c>
      <c r="E85" s="53">
        <v>9496.4</v>
      </c>
      <c r="F85" s="53"/>
      <c r="G85" s="53"/>
      <c r="H85" s="53"/>
      <c r="I85" s="53"/>
      <c r="J85" s="53"/>
      <c r="K85" s="53"/>
      <c r="L85" s="53"/>
      <c r="M85" s="53"/>
      <c r="N85" s="53"/>
      <c r="O85" s="53">
        <f>E85+H85</f>
        <v>9496.4</v>
      </c>
    </row>
    <row r="86" spans="1:15" ht="29.25">
      <c r="A86" s="46" t="s">
        <v>153</v>
      </c>
      <c r="B86" s="50"/>
      <c r="C86" s="50"/>
      <c r="D86" s="47" t="s">
        <v>21</v>
      </c>
      <c r="E86" s="49">
        <f>E87</f>
        <v>1205.5</v>
      </c>
      <c r="F86" s="49">
        <f>F87</f>
        <v>980</v>
      </c>
      <c r="G86" s="53"/>
      <c r="H86" s="49">
        <f>H87</f>
        <v>20</v>
      </c>
      <c r="I86" s="49">
        <f t="shared" ref="I86:N86" si="14">I87</f>
        <v>0</v>
      </c>
      <c r="J86" s="49">
        <f t="shared" si="14"/>
        <v>0</v>
      </c>
      <c r="K86" s="49">
        <f t="shared" si="14"/>
        <v>0</v>
      </c>
      <c r="L86" s="49">
        <f t="shared" si="14"/>
        <v>20</v>
      </c>
      <c r="M86" s="49">
        <f t="shared" si="14"/>
        <v>20</v>
      </c>
      <c r="N86" s="49">
        <f t="shared" si="14"/>
        <v>20</v>
      </c>
      <c r="O86" s="49">
        <f>O87</f>
        <v>1225.5</v>
      </c>
    </row>
    <row r="87" spans="1:15" ht="29.25">
      <c r="A87" s="46" t="s">
        <v>154</v>
      </c>
      <c r="B87" s="50"/>
      <c r="C87" s="50"/>
      <c r="D87" s="47" t="s">
        <v>21</v>
      </c>
      <c r="E87" s="49">
        <f>E88+E89+E90</f>
        <v>1205.5</v>
      </c>
      <c r="F87" s="49">
        <f>F88+F89+F90</f>
        <v>980</v>
      </c>
      <c r="G87" s="49"/>
      <c r="H87" s="49">
        <f>I87+L87</f>
        <v>20</v>
      </c>
      <c r="I87" s="49">
        <f t="shared" ref="I87:N87" si="15">I88+I89+I90</f>
        <v>0</v>
      </c>
      <c r="J87" s="49">
        <f t="shared" si="15"/>
        <v>0</v>
      </c>
      <c r="K87" s="49">
        <f t="shared" si="15"/>
        <v>0</v>
      </c>
      <c r="L87" s="49">
        <f t="shared" si="15"/>
        <v>20</v>
      </c>
      <c r="M87" s="49">
        <f t="shared" si="15"/>
        <v>20</v>
      </c>
      <c r="N87" s="49">
        <f t="shared" si="15"/>
        <v>20</v>
      </c>
      <c r="O87" s="49">
        <f t="shared" ref="O87:O109" si="16">E87+H87</f>
        <v>1225.5</v>
      </c>
    </row>
    <row r="88" spans="1:15" ht="45">
      <c r="A88" s="50" t="s">
        <v>155</v>
      </c>
      <c r="B88" s="50" t="s">
        <v>124</v>
      </c>
      <c r="C88" s="50" t="s">
        <v>32</v>
      </c>
      <c r="D88" s="54" t="s">
        <v>126</v>
      </c>
      <c r="E88" s="53">
        <v>1001.9</v>
      </c>
      <c r="F88" s="53">
        <f>803+177</f>
        <v>980</v>
      </c>
      <c r="G88" s="53"/>
      <c r="H88" s="53">
        <f>I88+L88</f>
        <v>20</v>
      </c>
      <c r="I88" s="53"/>
      <c r="J88" s="53"/>
      <c r="K88" s="53"/>
      <c r="L88" s="53">
        <v>20</v>
      </c>
      <c r="M88" s="53">
        <v>20</v>
      </c>
      <c r="N88" s="53">
        <v>20</v>
      </c>
      <c r="O88" s="53">
        <f t="shared" si="16"/>
        <v>1021.9</v>
      </c>
    </row>
    <row r="89" spans="1:15" s="15" customFormat="1" ht="30">
      <c r="A89" s="50" t="s">
        <v>156</v>
      </c>
      <c r="B89" s="50" t="s">
        <v>93</v>
      </c>
      <c r="C89" s="50" t="s">
        <v>54</v>
      </c>
      <c r="D89" s="58" t="s">
        <v>103</v>
      </c>
      <c r="E89" s="53">
        <v>33.6</v>
      </c>
      <c r="F89" s="53"/>
      <c r="G89" s="53"/>
      <c r="H89" s="53"/>
      <c r="I89" s="53"/>
      <c r="J89" s="53"/>
      <c r="K89" s="53"/>
      <c r="L89" s="53"/>
      <c r="M89" s="53"/>
      <c r="N89" s="53"/>
      <c r="O89" s="53">
        <f t="shared" si="16"/>
        <v>33.6</v>
      </c>
    </row>
    <row r="90" spans="1:15" ht="75">
      <c r="A90" s="50" t="s">
        <v>157</v>
      </c>
      <c r="B90" s="50" t="s">
        <v>61</v>
      </c>
      <c r="C90" s="50" t="s">
        <v>54</v>
      </c>
      <c r="D90" s="59" t="s">
        <v>55</v>
      </c>
      <c r="E90" s="53">
        <v>170</v>
      </c>
      <c r="F90" s="53"/>
      <c r="G90" s="53"/>
      <c r="H90" s="53"/>
      <c r="I90" s="53"/>
      <c r="J90" s="53"/>
      <c r="K90" s="53"/>
      <c r="L90" s="53"/>
      <c r="M90" s="53"/>
      <c r="N90" s="53"/>
      <c r="O90" s="53">
        <f t="shared" si="16"/>
        <v>170</v>
      </c>
    </row>
    <row r="91" spans="1:15" s="13" customFormat="1" ht="29.25">
      <c r="A91" s="46" t="s">
        <v>158</v>
      </c>
      <c r="B91" s="46"/>
      <c r="C91" s="46"/>
      <c r="D91" s="47" t="s">
        <v>15</v>
      </c>
      <c r="E91" s="49">
        <f>E92</f>
        <v>26117.5</v>
      </c>
      <c r="F91" s="49">
        <f t="shared" ref="F91:O91" si="17">F92</f>
        <v>21873.899999999998</v>
      </c>
      <c r="G91" s="49">
        <f t="shared" si="17"/>
        <v>1699.2</v>
      </c>
      <c r="H91" s="49">
        <f>H92</f>
        <v>3388</v>
      </c>
      <c r="I91" s="49">
        <f t="shared" si="17"/>
        <v>855</v>
      </c>
      <c r="J91" s="49">
        <f t="shared" si="17"/>
        <v>233.8</v>
      </c>
      <c r="K91" s="49">
        <f t="shared" si="17"/>
        <v>0</v>
      </c>
      <c r="L91" s="49">
        <f t="shared" si="17"/>
        <v>2533</v>
      </c>
      <c r="M91" s="49">
        <f t="shared" si="17"/>
        <v>2533</v>
      </c>
      <c r="N91" s="49">
        <f t="shared" si="17"/>
        <v>2533</v>
      </c>
      <c r="O91" s="49">
        <f t="shared" si="17"/>
        <v>29505.5</v>
      </c>
    </row>
    <row r="92" spans="1:15" ht="29.25">
      <c r="A92" s="50" t="s">
        <v>159</v>
      </c>
      <c r="B92" s="50"/>
      <c r="C92" s="50"/>
      <c r="D92" s="47" t="s">
        <v>15</v>
      </c>
      <c r="E92" s="49">
        <f>E93+E95+E96+E97+E94+E98+E99</f>
        <v>26117.5</v>
      </c>
      <c r="F92" s="49">
        <f t="shared" ref="F92:N92" si="18">F93+F95+F96+F97+F94+F98+F99</f>
        <v>21873.899999999998</v>
      </c>
      <c r="G92" s="49">
        <f t="shared" si="18"/>
        <v>1699.2</v>
      </c>
      <c r="H92" s="49">
        <f>I92+L92</f>
        <v>3388</v>
      </c>
      <c r="I92" s="49">
        <f t="shared" si="18"/>
        <v>855</v>
      </c>
      <c r="J92" s="49">
        <f t="shared" si="18"/>
        <v>233.8</v>
      </c>
      <c r="K92" s="49">
        <f t="shared" si="18"/>
        <v>0</v>
      </c>
      <c r="L92" s="49">
        <f t="shared" si="18"/>
        <v>2533</v>
      </c>
      <c r="M92" s="49">
        <f t="shared" si="18"/>
        <v>2533</v>
      </c>
      <c r="N92" s="49">
        <f t="shared" si="18"/>
        <v>2533</v>
      </c>
      <c r="O92" s="49">
        <f t="shared" si="16"/>
        <v>29505.5</v>
      </c>
    </row>
    <row r="93" spans="1:15" ht="45">
      <c r="A93" s="50" t="s">
        <v>160</v>
      </c>
      <c r="B93" s="50" t="s">
        <v>124</v>
      </c>
      <c r="C93" s="50" t="s">
        <v>32</v>
      </c>
      <c r="D93" s="54" t="s">
        <v>126</v>
      </c>
      <c r="E93" s="53">
        <v>468</v>
      </c>
      <c r="F93" s="53">
        <f>377+83</f>
        <v>460</v>
      </c>
      <c r="G93" s="53"/>
      <c r="H93" s="49"/>
      <c r="I93" s="53"/>
      <c r="J93" s="53"/>
      <c r="K93" s="53"/>
      <c r="L93" s="53"/>
      <c r="M93" s="53"/>
      <c r="N93" s="53"/>
      <c r="O93" s="53">
        <f t="shared" si="16"/>
        <v>468</v>
      </c>
    </row>
    <row r="94" spans="1:15" ht="60">
      <c r="A94" s="50" t="s">
        <v>170</v>
      </c>
      <c r="B94" s="50" t="s">
        <v>169</v>
      </c>
      <c r="C94" s="50" t="s">
        <v>50</v>
      </c>
      <c r="D94" s="54" t="s">
        <v>171</v>
      </c>
      <c r="E94" s="53">
        <v>11629</v>
      </c>
      <c r="F94" s="53">
        <f>9288.6+2043.5</f>
        <v>11332.1</v>
      </c>
      <c r="G94" s="53">
        <v>282.5</v>
      </c>
      <c r="H94" s="53">
        <f>I94+L94</f>
        <v>629</v>
      </c>
      <c r="I94" s="53">
        <v>629</v>
      </c>
      <c r="J94" s="53">
        <f>159.8+35</f>
        <v>194.8</v>
      </c>
      <c r="K94" s="53"/>
      <c r="L94" s="53"/>
      <c r="M94" s="53"/>
      <c r="N94" s="53"/>
      <c r="O94" s="53">
        <f t="shared" si="16"/>
        <v>12258</v>
      </c>
    </row>
    <row r="95" spans="1:15">
      <c r="A95" s="50" t="s">
        <v>162</v>
      </c>
      <c r="B95" s="50" t="s">
        <v>161</v>
      </c>
      <c r="C95" s="50" t="s">
        <v>95</v>
      </c>
      <c r="D95" s="58" t="s">
        <v>163</v>
      </c>
      <c r="E95" s="57">
        <v>4974.3</v>
      </c>
      <c r="F95" s="57">
        <f>3074.3+676.3</f>
        <v>3750.6000000000004</v>
      </c>
      <c r="G95" s="57">
        <v>558.29999999999995</v>
      </c>
      <c r="H95" s="53">
        <f>I95+L95</f>
        <v>154.5</v>
      </c>
      <c r="I95" s="57">
        <v>54.5</v>
      </c>
      <c r="J95" s="57"/>
      <c r="K95" s="57"/>
      <c r="L95" s="57">
        <f>85+15</f>
        <v>100</v>
      </c>
      <c r="M95" s="57">
        <v>100</v>
      </c>
      <c r="N95" s="57">
        <v>100</v>
      </c>
      <c r="O95" s="57">
        <f t="shared" si="16"/>
        <v>5128.8</v>
      </c>
    </row>
    <row r="96" spans="1:15">
      <c r="A96" s="50" t="s">
        <v>165</v>
      </c>
      <c r="B96" s="50" t="s">
        <v>164</v>
      </c>
      <c r="C96" s="50" t="s">
        <v>95</v>
      </c>
      <c r="D96" s="58" t="s">
        <v>166</v>
      </c>
      <c r="E96" s="57">
        <v>1542.4</v>
      </c>
      <c r="F96" s="57">
        <f>978+215.2</f>
        <v>1193.2</v>
      </c>
      <c r="G96" s="57">
        <v>232.2</v>
      </c>
      <c r="H96" s="53">
        <f>I96+L96</f>
        <v>31.5</v>
      </c>
      <c r="I96" s="57">
        <v>31.5</v>
      </c>
      <c r="J96" s="57"/>
      <c r="K96" s="57"/>
      <c r="L96" s="57"/>
      <c r="M96" s="57"/>
      <c r="N96" s="57"/>
      <c r="O96" s="57">
        <f t="shared" si="16"/>
        <v>1573.9</v>
      </c>
    </row>
    <row r="97" spans="1:15" ht="45">
      <c r="A97" s="50" t="s">
        <v>167</v>
      </c>
      <c r="B97" s="50" t="s">
        <v>94</v>
      </c>
      <c r="C97" s="50" t="s">
        <v>96</v>
      </c>
      <c r="D97" s="58" t="s">
        <v>168</v>
      </c>
      <c r="E97" s="57">
        <v>5500.7</v>
      </c>
      <c r="F97" s="57">
        <f>3548.9+780.8</f>
        <v>4329.7</v>
      </c>
      <c r="G97" s="57">
        <v>600</v>
      </c>
      <c r="H97" s="53">
        <f>I97+L97</f>
        <v>2543</v>
      </c>
      <c r="I97" s="57">
        <f>105+12.6+16+6.4</f>
        <v>140</v>
      </c>
      <c r="J97" s="57">
        <f>32+7</f>
        <v>39</v>
      </c>
      <c r="K97" s="57"/>
      <c r="L97" s="57">
        <f>1000+15+40+10+10+120+8+1000+200</f>
        <v>2403</v>
      </c>
      <c r="M97" s="57">
        <v>2403</v>
      </c>
      <c r="N97" s="57">
        <v>2403</v>
      </c>
      <c r="O97" s="57">
        <f t="shared" si="16"/>
        <v>8043.7</v>
      </c>
    </row>
    <row r="98" spans="1:15" ht="30">
      <c r="A98" s="50" t="s">
        <v>323</v>
      </c>
      <c r="B98" s="50" t="s">
        <v>288</v>
      </c>
      <c r="C98" s="50" t="s">
        <v>97</v>
      </c>
      <c r="D98" s="58" t="s">
        <v>289</v>
      </c>
      <c r="E98" s="57">
        <v>882.1</v>
      </c>
      <c r="F98" s="57">
        <v>808.3</v>
      </c>
      <c r="G98" s="57">
        <v>26.2</v>
      </c>
      <c r="H98" s="53">
        <f>I98+L98</f>
        <v>30</v>
      </c>
      <c r="I98" s="57"/>
      <c r="J98" s="57"/>
      <c r="K98" s="57"/>
      <c r="L98" s="57">
        <v>30</v>
      </c>
      <c r="M98" s="57">
        <v>30</v>
      </c>
      <c r="N98" s="57">
        <v>30</v>
      </c>
      <c r="O98" s="57">
        <f t="shared" si="16"/>
        <v>912.1</v>
      </c>
    </row>
    <row r="99" spans="1:15">
      <c r="A99" s="50" t="s">
        <v>286</v>
      </c>
      <c r="B99" s="50" t="s">
        <v>287</v>
      </c>
      <c r="C99" s="50" t="s">
        <v>97</v>
      </c>
      <c r="D99" s="58" t="s">
        <v>290</v>
      </c>
      <c r="E99" s="57">
        <v>1121</v>
      </c>
      <c r="F99" s="57"/>
      <c r="G99" s="57"/>
      <c r="H99" s="53"/>
      <c r="I99" s="57"/>
      <c r="J99" s="57"/>
      <c r="K99" s="57"/>
      <c r="L99" s="57"/>
      <c r="M99" s="57"/>
      <c r="N99" s="57"/>
      <c r="O99" s="57">
        <f t="shared" si="16"/>
        <v>1121</v>
      </c>
    </row>
    <row r="100" spans="1:15" ht="43.5">
      <c r="A100" s="46" t="s">
        <v>59</v>
      </c>
      <c r="B100" s="46"/>
      <c r="C100" s="46"/>
      <c r="D100" s="47" t="s">
        <v>18</v>
      </c>
      <c r="E100" s="60">
        <f>E101</f>
        <v>3170.2000000000003</v>
      </c>
      <c r="F100" s="60">
        <f>F101</f>
        <v>1026</v>
      </c>
      <c r="G100" s="60">
        <f>G101</f>
        <v>0</v>
      </c>
      <c r="H100" s="60">
        <f>H101</f>
        <v>10</v>
      </c>
      <c r="I100" s="60">
        <f t="shared" ref="I100:N100" si="19">I101</f>
        <v>0</v>
      </c>
      <c r="J100" s="60">
        <f t="shared" si="19"/>
        <v>0</v>
      </c>
      <c r="K100" s="60">
        <f t="shared" si="19"/>
        <v>0</v>
      </c>
      <c r="L100" s="60">
        <f t="shared" si="19"/>
        <v>10</v>
      </c>
      <c r="M100" s="60">
        <f t="shared" si="19"/>
        <v>10</v>
      </c>
      <c r="N100" s="60">
        <f t="shared" si="19"/>
        <v>10</v>
      </c>
      <c r="O100" s="49">
        <f t="shared" si="16"/>
        <v>3180.2000000000003</v>
      </c>
    </row>
    <row r="101" spans="1:15" ht="43.5">
      <c r="A101" s="46" t="s">
        <v>60</v>
      </c>
      <c r="B101" s="46"/>
      <c r="C101" s="46"/>
      <c r="D101" s="47" t="s">
        <v>18</v>
      </c>
      <c r="E101" s="49">
        <f>E102+E104+E105+E106+E107+E108+E103</f>
        <v>3170.2000000000003</v>
      </c>
      <c r="F101" s="49">
        <f t="shared" ref="F101:N101" si="20">F102+F104+F105+F106+F107+F108+F103</f>
        <v>1026</v>
      </c>
      <c r="G101" s="49">
        <f t="shared" si="20"/>
        <v>0</v>
      </c>
      <c r="H101" s="49">
        <f>I101+L101</f>
        <v>10</v>
      </c>
      <c r="I101" s="49">
        <f t="shared" si="20"/>
        <v>0</v>
      </c>
      <c r="J101" s="49">
        <f t="shared" si="20"/>
        <v>0</v>
      </c>
      <c r="K101" s="49">
        <f t="shared" si="20"/>
        <v>0</v>
      </c>
      <c r="L101" s="49">
        <f t="shared" si="20"/>
        <v>10</v>
      </c>
      <c r="M101" s="49">
        <f t="shared" si="20"/>
        <v>10</v>
      </c>
      <c r="N101" s="49">
        <f t="shared" si="20"/>
        <v>10</v>
      </c>
      <c r="O101" s="49">
        <f t="shared" si="16"/>
        <v>3180.2000000000003</v>
      </c>
    </row>
    <row r="102" spans="1:15" ht="47.25">
      <c r="A102" s="50" t="s">
        <v>172</v>
      </c>
      <c r="B102" s="50" t="s">
        <v>124</v>
      </c>
      <c r="C102" s="50" t="s">
        <v>32</v>
      </c>
      <c r="D102" s="18" t="s">
        <v>126</v>
      </c>
      <c r="E102" s="53">
        <v>1060.3</v>
      </c>
      <c r="F102" s="53">
        <f>841+185</f>
        <v>1026</v>
      </c>
      <c r="G102" s="53"/>
      <c r="H102" s="57">
        <f>I102+L102</f>
        <v>10</v>
      </c>
      <c r="I102" s="49"/>
      <c r="J102" s="49"/>
      <c r="K102" s="49"/>
      <c r="L102" s="53">
        <v>10</v>
      </c>
      <c r="M102" s="53">
        <v>10</v>
      </c>
      <c r="N102" s="53">
        <v>10</v>
      </c>
      <c r="O102" s="49">
        <f t="shared" si="16"/>
        <v>1070.3</v>
      </c>
    </row>
    <row r="103" spans="1:15" ht="15.75">
      <c r="A103" s="50" t="s">
        <v>174</v>
      </c>
      <c r="B103" s="50" t="s">
        <v>173</v>
      </c>
      <c r="C103" s="50" t="s">
        <v>54</v>
      </c>
      <c r="D103" s="12" t="s">
        <v>63</v>
      </c>
      <c r="E103" s="53">
        <v>271.10000000000002</v>
      </c>
      <c r="F103" s="53"/>
      <c r="G103" s="53"/>
      <c r="H103" s="57"/>
      <c r="I103" s="49"/>
      <c r="J103" s="49"/>
      <c r="K103" s="49"/>
      <c r="L103" s="53"/>
      <c r="M103" s="53"/>
      <c r="N103" s="53"/>
      <c r="O103" s="49"/>
    </row>
    <row r="104" spans="1:15" ht="15.75">
      <c r="A104" s="50" t="s">
        <v>176</v>
      </c>
      <c r="B104" s="50" t="s">
        <v>175</v>
      </c>
      <c r="C104" s="50" t="s">
        <v>54</v>
      </c>
      <c r="D104" s="12" t="s">
        <v>111</v>
      </c>
      <c r="E104" s="53">
        <v>591.5</v>
      </c>
      <c r="F104" s="53"/>
      <c r="G104" s="53"/>
      <c r="H104" s="53"/>
      <c r="I104" s="53"/>
      <c r="J104" s="53"/>
      <c r="K104" s="53"/>
      <c r="L104" s="53"/>
      <c r="M104" s="53"/>
      <c r="N104" s="53"/>
      <c r="O104" s="49">
        <f t="shared" si="16"/>
        <v>591.5</v>
      </c>
    </row>
    <row r="105" spans="1:15" ht="78.75">
      <c r="A105" s="50" t="s">
        <v>62</v>
      </c>
      <c r="B105" s="50" t="s">
        <v>61</v>
      </c>
      <c r="C105" s="50" t="s">
        <v>54</v>
      </c>
      <c r="D105" s="11" t="s">
        <v>55</v>
      </c>
      <c r="E105" s="53">
        <v>217.5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49">
        <f t="shared" si="16"/>
        <v>217.5</v>
      </c>
    </row>
    <row r="106" spans="1:15" ht="31.5">
      <c r="A106" s="50" t="s">
        <v>65</v>
      </c>
      <c r="B106" s="50" t="s">
        <v>64</v>
      </c>
      <c r="C106" s="50" t="s">
        <v>56</v>
      </c>
      <c r="D106" s="12" t="s">
        <v>102</v>
      </c>
      <c r="E106" s="53">
        <v>300</v>
      </c>
      <c r="F106" s="53"/>
      <c r="G106" s="53"/>
      <c r="H106" s="53"/>
      <c r="I106" s="53"/>
      <c r="J106" s="53"/>
      <c r="K106" s="53"/>
      <c r="L106" s="53"/>
      <c r="M106" s="53"/>
      <c r="N106" s="53"/>
      <c r="O106" s="49">
        <f t="shared" si="16"/>
        <v>300</v>
      </c>
    </row>
    <row r="107" spans="1:15" ht="31.5">
      <c r="A107" s="50" t="s">
        <v>104</v>
      </c>
      <c r="B107" s="50" t="s">
        <v>105</v>
      </c>
      <c r="C107" s="50" t="s">
        <v>56</v>
      </c>
      <c r="D107" s="12" t="s">
        <v>106</v>
      </c>
      <c r="E107" s="53">
        <v>200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49">
        <f t="shared" si="16"/>
        <v>200</v>
      </c>
    </row>
    <row r="108" spans="1:15" s="16" customFormat="1" ht="63">
      <c r="A108" s="19" t="s">
        <v>112</v>
      </c>
      <c r="B108" s="19" t="s">
        <v>113</v>
      </c>
      <c r="C108" s="19" t="s">
        <v>56</v>
      </c>
      <c r="D108" s="18" t="s">
        <v>114</v>
      </c>
      <c r="E108" s="20">
        <v>529.79999999999995</v>
      </c>
      <c r="F108" s="20"/>
      <c r="G108" s="20"/>
      <c r="H108" s="20"/>
      <c r="I108" s="20"/>
      <c r="J108" s="20"/>
      <c r="K108" s="20"/>
      <c r="L108" s="20"/>
      <c r="M108" s="20"/>
      <c r="N108" s="20"/>
      <c r="O108" s="21">
        <f t="shared" si="16"/>
        <v>529.79999999999995</v>
      </c>
    </row>
    <row r="109" spans="1:15" s="13" customFormat="1" ht="43.5">
      <c r="A109" s="46" t="s">
        <v>177</v>
      </c>
      <c r="B109" s="46"/>
      <c r="C109" s="46"/>
      <c r="D109" s="47" t="s">
        <v>22</v>
      </c>
      <c r="E109" s="60">
        <f>E110</f>
        <v>57405.000000000007</v>
      </c>
      <c r="F109" s="60">
        <f t="shared" ref="F109:N109" si="21">F110</f>
        <v>1382</v>
      </c>
      <c r="G109" s="60">
        <f t="shared" si="21"/>
        <v>0</v>
      </c>
      <c r="H109" s="60">
        <f t="shared" si="21"/>
        <v>51119.3</v>
      </c>
      <c r="I109" s="60">
        <f t="shared" si="21"/>
        <v>99.3</v>
      </c>
      <c r="J109" s="60">
        <f t="shared" si="21"/>
        <v>0</v>
      </c>
      <c r="K109" s="60">
        <f t="shared" si="21"/>
        <v>0</v>
      </c>
      <c r="L109" s="60">
        <f t="shared" si="21"/>
        <v>51020</v>
      </c>
      <c r="M109" s="60">
        <f t="shared" si="21"/>
        <v>51020</v>
      </c>
      <c r="N109" s="60">
        <f t="shared" si="21"/>
        <v>45020</v>
      </c>
      <c r="O109" s="60">
        <f t="shared" si="16"/>
        <v>108524.30000000002</v>
      </c>
    </row>
    <row r="110" spans="1:15" ht="43.5">
      <c r="A110" s="46" t="s">
        <v>178</v>
      </c>
      <c r="B110" s="50"/>
      <c r="C110" s="50"/>
      <c r="D110" s="47" t="s">
        <v>22</v>
      </c>
      <c r="E110" s="49">
        <f>E111+E112+E113+E114+E115+E116+E117+E118+E119+E120+E121</f>
        <v>57405.000000000007</v>
      </c>
      <c r="F110" s="49">
        <f>F111+F112+F113+F114+F115+F116+F117+F118+F119+F120+F121</f>
        <v>1382</v>
      </c>
      <c r="G110" s="49">
        <f>G111+G112+G113+G114+G115+G116+G117+G118+G119+G120+G121</f>
        <v>0</v>
      </c>
      <c r="H110" s="49">
        <f>I110+L110</f>
        <v>51119.3</v>
      </c>
      <c r="I110" s="49">
        <f>I111+I112+I113+I114+I115+I116+I117+I118+I119+I120+I121+I122</f>
        <v>99.3</v>
      </c>
      <c r="J110" s="49">
        <f>J111+J112+J113+J114+J115+J116+J117+J118+J119+J120+J121</f>
        <v>0</v>
      </c>
      <c r="K110" s="49">
        <f>K111+K112+K113+K114+K115+K116+K117+K118+K119+K120+K121</f>
        <v>0</v>
      </c>
      <c r="L110" s="49">
        <f>L111+L112+L113+L114+L115+L116+L117+L118+L119+L120+L121</f>
        <v>51020</v>
      </c>
      <c r="M110" s="49">
        <f>M111+M112+M113+M114+M115+M116+M117+M118+M119+M120+M121</f>
        <v>51020</v>
      </c>
      <c r="N110" s="49">
        <f>N111+N112+N113+N114+N115+N116+N117+N118+N119+N120+N121</f>
        <v>45020</v>
      </c>
      <c r="O110" s="60">
        <f>E110+H110</f>
        <v>108524.30000000002</v>
      </c>
    </row>
    <row r="111" spans="1:15" ht="47.25">
      <c r="A111" s="50" t="s">
        <v>179</v>
      </c>
      <c r="B111" s="50" t="s">
        <v>124</v>
      </c>
      <c r="C111" s="50" t="s">
        <v>32</v>
      </c>
      <c r="D111" s="18" t="s">
        <v>126</v>
      </c>
      <c r="E111" s="53">
        <v>1513.9</v>
      </c>
      <c r="F111" s="53">
        <f>1133+249</f>
        <v>1382</v>
      </c>
      <c r="G111" s="53"/>
      <c r="H111" s="53">
        <f t="shared" ref="H111:H122" si="22">I111+L111</f>
        <v>10</v>
      </c>
      <c r="I111" s="53"/>
      <c r="J111" s="53"/>
      <c r="K111" s="53"/>
      <c r="L111" s="53">
        <v>10</v>
      </c>
      <c r="M111" s="53">
        <v>10</v>
      </c>
      <c r="N111" s="53">
        <v>10</v>
      </c>
      <c r="O111" s="53">
        <f>E111+H111</f>
        <v>1523.9</v>
      </c>
    </row>
    <row r="112" spans="1:15" ht="15.75">
      <c r="A112" s="50" t="s">
        <v>301</v>
      </c>
      <c r="B112" s="50" t="s">
        <v>300</v>
      </c>
      <c r="C112" s="50" t="s">
        <v>252</v>
      </c>
      <c r="D112" s="18" t="s">
        <v>253</v>
      </c>
      <c r="E112" s="53">
        <v>50</v>
      </c>
      <c r="F112" s="53"/>
      <c r="G112" s="53"/>
      <c r="H112" s="49"/>
      <c r="I112" s="53"/>
      <c r="J112" s="53"/>
      <c r="K112" s="53"/>
      <c r="L112" s="53"/>
      <c r="M112" s="53"/>
      <c r="N112" s="53"/>
      <c r="O112" s="53">
        <f>E112+H112</f>
        <v>50</v>
      </c>
    </row>
    <row r="113" spans="1:15" ht="31.5">
      <c r="A113" s="50" t="s">
        <v>201</v>
      </c>
      <c r="B113" s="50" t="s">
        <v>200</v>
      </c>
      <c r="C113" s="50" t="s">
        <v>40</v>
      </c>
      <c r="D113" s="12" t="s">
        <v>202</v>
      </c>
      <c r="E113" s="57">
        <v>200</v>
      </c>
      <c r="F113" s="53"/>
      <c r="G113" s="53"/>
      <c r="H113" s="53">
        <f t="shared" si="22"/>
        <v>11000</v>
      </c>
      <c r="I113" s="53"/>
      <c r="J113" s="53"/>
      <c r="K113" s="53"/>
      <c r="L113" s="53">
        <f>2000+9000</f>
        <v>11000</v>
      </c>
      <c r="M113" s="53">
        <f>2000+9000</f>
        <v>11000</v>
      </c>
      <c r="N113" s="53">
        <f>1000+9000</f>
        <v>10000</v>
      </c>
      <c r="O113" s="53">
        <f>E113+H113</f>
        <v>11200</v>
      </c>
    </row>
    <row r="114" spans="1:15" ht="31.5">
      <c r="A114" s="50" t="s">
        <v>261</v>
      </c>
      <c r="B114" s="50" t="s">
        <v>260</v>
      </c>
      <c r="C114" s="50" t="s">
        <v>40</v>
      </c>
      <c r="D114" s="12" t="s">
        <v>262</v>
      </c>
      <c r="E114" s="57"/>
      <c r="F114" s="53"/>
      <c r="G114" s="53"/>
      <c r="H114" s="53">
        <f t="shared" si="22"/>
        <v>4000</v>
      </c>
      <c r="I114" s="53"/>
      <c r="J114" s="53"/>
      <c r="K114" s="53"/>
      <c r="L114" s="53">
        <v>4000</v>
      </c>
      <c r="M114" s="53">
        <v>4000</v>
      </c>
      <c r="N114" s="53">
        <v>4000</v>
      </c>
      <c r="O114" s="53">
        <f t="shared" ref="O114:O122" si="23">E114+H114</f>
        <v>4000</v>
      </c>
    </row>
    <row r="115" spans="1:15" ht="31.5">
      <c r="A115" s="50" t="s">
        <v>204</v>
      </c>
      <c r="B115" s="50" t="s">
        <v>203</v>
      </c>
      <c r="C115" s="50" t="s">
        <v>40</v>
      </c>
      <c r="D115" s="12" t="s">
        <v>205</v>
      </c>
      <c r="E115" s="57">
        <v>531.4</v>
      </c>
      <c r="F115" s="53"/>
      <c r="G115" s="53"/>
      <c r="H115" s="53">
        <f t="shared" si="22"/>
        <v>4000</v>
      </c>
      <c r="I115" s="53"/>
      <c r="J115" s="53"/>
      <c r="K115" s="53"/>
      <c r="L115" s="53">
        <v>4000</v>
      </c>
      <c r="M115" s="53">
        <v>4000</v>
      </c>
      <c r="N115" s="53"/>
      <c r="O115" s="53">
        <f t="shared" si="23"/>
        <v>4531.3999999999996</v>
      </c>
    </row>
    <row r="116" spans="1:15" ht="31.5">
      <c r="A116" s="50" t="s">
        <v>255</v>
      </c>
      <c r="B116" s="50" t="s">
        <v>254</v>
      </c>
      <c r="C116" s="50" t="s">
        <v>40</v>
      </c>
      <c r="D116" s="12" t="s">
        <v>256</v>
      </c>
      <c r="E116" s="57">
        <v>500</v>
      </c>
      <c r="F116" s="53"/>
      <c r="G116" s="53"/>
      <c r="H116" s="53">
        <f t="shared" si="22"/>
        <v>5000</v>
      </c>
      <c r="I116" s="53"/>
      <c r="J116" s="53"/>
      <c r="K116" s="53"/>
      <c r="L116" s="53">
        <v>5000</v>
      </c>
      <c r="M116" s="53">
        <v>5000</v>
      </c>
      <c r="N116" s="53">
        <v>5000</v>
      </c>
      <c r="O116" s="53">
        <f t="shared" si="23"/>
        <v>5500</v>
      </c>
    </row>
    <row r="117" spans="1:15" s="16" customFormat="1" ht="15.75">
      <c r="A117" s="19" t="s">
        <v>180</v>
      </c>
      <c r="B117" s="19" t="s">
        <v>99</v>
      </c>
      <c r="C117" s="19" t="s">
        <v>40</v>
      </c>
      <c r="D117" s="18" t="s">
        <v>121</v>
      </c>
      <c r="E117" s="20">
        <f>4529.7+2707.3+2385+340.8+1776+420+60+30+200+200+200+200+200+200+200+5129.6+1724.9+212+200+180+200+100+4938.9+5716.5+50+9+860+200+1000+300+6000-661.2+311.2</f>
        <v>40119.700000000004</v>
      </c>
      <c r="F117" s="20"/>
      <c r="G117" s="20"/>
      <c r="H117" s="20">
        <f t="shared" si="22"/>
        <v>6010</v>
      </c>
      <c r="I117" s="20"/>
      <c r="J117" s="20"/>
      <c r="K117" s="20"/>
      <c r="L117" s="20">
        <f>3610+1900+1000-500</f>
        <v>6010</v>
      </c>
      <c r="M117" s="20">
        <f>3610+1900+1000-500</f>
        <v>6010</v>
      </c>
      <c r="N117" s="20">
        <f>3610+1900+1000-500</f>
        <v>6010</v>
      </c>
      <c r="O117" s="20">
        <f t="shared" si="23"/>
        <v>46129.700000000004</v>
      </c>
    </row>
    <row r="118" spans="1:15" s="16" customFormat="1" ht="31.5">
      <c r="A118" s="19" t="s">
        <v>264</v>
      </c>
      <c r="B118" s="19" t="s">
        <v>263</v>
      </c>
      <c r="C118" s="19" t="s">
        <v>265</v>
      </c>
      <c r="D118" s="12" t="s">
        <v>266</v>
      </c>
      <c r="E118" s="20">
        <v>490</v>
      </c>
      <c r="F118" s="20"/>
      <c r="G118" s="20"/>
      <c r="H118" s="20">
        <f t="shared" si="22"/>
        <v>0</v>
      </c>
      <c r="I118" s="20"/>
      <c r="J118" s="20"/>
      <c r="K118" s="20"/>
      <c r="L118" s="20"/>
      <c r="M118" s="20"/>
      <c r="N118" s="20"/>
      <c r="O118" s="20">
        <f t="shared" si="23"/>
        <v>490</v>
      </c>
    </row>
    <row r="119" spans="1:15" s="16" customFormat="1" ht="31.5">
      <c r="A119" s="19" t="s">
        <v>292</v>
      </c>
      <c r="B119" s="19" t="s">
        <v>291</v>
      </c>
      <c r="C119" s="19" t="s">
        <v>58</v>
      </c>
      <c r="D119" s="18" t="s">
        <v>258</v>
      </c>
      <c r="E119" s="20"/>
      <c r="F119" s="20"/>
      <c r="G119" s="20"/>
      <c r="H119" s="20">
        <f t="shared" si="22"/>
        <v>500</v>
      </c>
      <c r="I119" s="20"/>
      <c r="J119" s="20"/>
      <c r="K119" s="20"/>
      <c r="L119" s="20">
        <v>500</v>
      </c>
      <c r="M119" s="20">
        <v>500</v>
      </c>
      <c r="N119" s="20">
        <v>500</v>
      </c>
      <c r="O119" s="20">
        <f t="shared" si="23"/>
        <v>500</v>
      </c>
    </row>
    <row r="120" spans="1:15" s="16" customFormat="1" ht="47.25">
      <c r="A120" s="19" t="s">
        <v>257</v>
      </c>
      <c r="B120" s="19" t="s">
        <v>198</v>
      </c>
      <c r="C120" s="19" t="s">
        <v>100</v>
      </c>
      <c r="D120" s="12" t="s">
        <v>199</v>
      </c>
      <c r="E120" s="20">
        <f>12000+2000</f>
        <v>14000</v>
      </c>
      <c r="F120" s="20"/>
      <c r="G120" s="20"/>
      <c r="H120" s="20">
        <f>I120+L120</f>
        <v>19500</v>
      </c>
      <c r="I120" s="20"/>
      <c r="J120" s="20"/>
      <c r="K120" s="20"/>
      <c r="L120" s="20">
        <f>17203+2297</f>
        <v>19500</v>
      </c>
      <c r="M120" s="20">
        <v>19500</v>
      </c>
      <c r="N120" s="20">
        <v>19500</v>
      </c>
      <c r="O120" s="20">
        <f>E120+H120</f>
        <v>33500</v>
      </c>
    </row>
    <row r="121" spans="1:15" s="16" customFormat="1" ht="15.75">
      <c r="A121" s="19" t="s">
        <v>259</v>
      </c>
      <c r="B121" s="19" t="s">
        <v>196</v>
      </c>
      <c r="C121" s="19" t="s">
        <v>38</v>
      </c>
      <c r="D121" s="12" t="s">
        <v>39</v>
      </c>
      <c r="E121" s="20"/>
      <c r="F121" s="20"/>
      <c r="G121" s="20"/>
      <c r="H121" s="20">
        <f t="shared" si="22"/>
        <v>1000</v>
      </c>
      <c r="I121" s="20"/>
      <c r="J121" s="20"/>
      <c r="K121" s="20"/>
      <c r="L121" s="20">
        <v>1000</v>
      </c>
      <c r="M121" s="20">
        <v>1000</v>
      </c>
      <c r="N121" s="20"/>
      <c r="O121" s="20">
        <f t="shared" si="23"/>
        <v>1000</v>
      </c>
    </row>
    <row r="122" spans="1:15" s="16" customFormat="1" ht="31.5">
      <c r="A122" s="19" t="s">
        <v>283</v>
      </c>
      <c r="B122" s="19" t="s">
        <v>274</v>
      </c>
      <c r="C122" s="19" t="s">
        <v>101</v>
      </c>
      <c r="D122" s="18" t="s">
        <v>295</v>
      </c>
      <c r="E122" s="20"/>
      <c r="F122" s="20"/>
      <c r="G122" s="20"/>
      <c r="H122" s="20">
        <f t="shared" si="22"/>
        <v>99.3</v>
      </c>
      <c r="I122" s="20">
        <v>99.3</v>
      </c>
      <c r="J122" s="20"/>
      <c r="K122" s="20"/>
      <c r="L122" s="20"/>
      <c r="M122" s="20"/>
      <c r="N122" s="20"/>
      <c r="O122" s="20">
        <f t="shared" si="23"/>
        <v>99.3</v>
      </c>
    </row>
    <row r="123" spans="1:15" s="13" customFormat="1" ht="43.5">
      <c r="A123" s="46" t="s">
        <v>66</v>
      </c>
      <c r="B123" s="46"/>
      <c r="C123" s="46"/>
      <c r="D123" s="47" t="s">
        <v>27</v>
      </c>
      <c r="E123" s="49">
        <f>E124</f>
        <v>1592.8</v>
      </c>
      <c r="F123" s="49">
        <f t="shared" ref="F123:O123" si="24">F124</f>
        <v>1547</v>
      </c>
      <c r="G123" s="49">
        <f t="shared" si="24"/>
        <v>0</v>
      </c>
      <c r="H123" s="49">
        <f t="shared" si="24"/>
        <v>50300</v>
      </c>
      <c r="I123" s="49">
        <f t="shared" si="24"/>
        <v>0</v>
      </c>
      <c r="J123" s="49">
        <f t="shared" si="24"/>
        <v>0</v>
      </c>
      <c r="K123" s="49">
        <f t="shared" si="24"/>
        <v>0</v>
      </c>
      <c r="L123" s="49">
        <f t="shared" si="24"/>
        <v>50300</v>
      </c>
      <c r="M123" s="49">
        <f t="shared" si="24"/>
        <v>50300</v>
      </c>
      <c r="N123" s="49">
        <f t="shared" si="24"/>
        <v>50300</v>
      </c>
      <c r="O123" s="49">
        <f t="shared" si="24"/>
        <v>51892.800000000003</v>
      </c>
    </row>
    <row r="124" spans="1:15" ht="43.5">
      <c r="A124" s="46" t="s">
        <v>67</v>
      </c>
      <c r="B124" s="50"/>
      <c r="C124" s="50"/>
      <c r="D124" s="47" t="s">
        <v>27</v>
      </c>
      <c r="E124" s="49">
        <f>E125+E126+E127+E128</f>
        <v>1592.8</v>
      </c>
      <c r="F124" s="49">
        <f t="shared" ref="F124:N124" si="25">F125+F126+F127+F128</f>
        <v>1547</v>
      </c>
      <c r="G124" s="49">
        <f t="shared" si="25"/>
        <v>0</v>
      </c>
      <c r="H124" s="49">
        <f>I124+L124</f>
        <v>50300</v>
      </c>
      <c r="I124" s="49">
        <f t="shared" si="25"/>
        <v>0</v>
      </c>
      <c r="J124" s="49">
        <f t="shared" si="25"/>
        <v>0</v>
      </c>
      <c r="K124" s="49">
        <f t="shared" si="25"/>
        <v>0</v>
      </c>
      <c r="L124" s="49">
        <f t="shared" si="25"/>
        <v>50300</v>
      </c>
      <c r="M124" s="49">
        <f t="shared" si="25"/>
        <v>50300</v>
      </c>
      <c r="N124" s="49">
        <f t="shared" si="25"/>
        <v>50300</v>
      </c>
      <c r="O124" s="49">
        <f t="shared" ref="O124:O144" si="26">E124+H124</f>
        <v>51892.800000000003</v>
      </c>
    </row>
    <row r="125" spans="1:15" ht="47.25">
      <c r="A125" s="50" t="s">
        <v>184</v>
      </c>
      <c r="B125" s="50" t="s">
        <v>124</v>
      </c>
      <c r="C125" s="50" t="s">
        <v>32</v>
      </c>
      <c r="D125" s="18" t="s">
        <v>126</v>
      </c>
      <c r="E125" s="53">
        <v>1592.8</v>
      </c>
      <c r="F125" s="53">
        <f>1268+279</f>
        <v>1547</v>
      </c>
      <c r="G125" s="53"/>
      <c r="H125" s="53">
        <f>I125+L125</f>
        <v>0</v>
      </c>
      <c r="I125" s="53"/>
      <c r="J125" s="53"/>
      <c r="K125" s="53"/>
      <c r="L125" s="53"/>
      <c r="M125" s="53"/>
      <c r="N125" s="53"/>
      <c r="O125" s="53">
        <f t="shared" si="26"/>
        <v>1592.8</v>
      </c>
    </row>
    <row r="126" spans="1:15" ht="31.5">
      <c r="A126" s="50" t="s">
        <v>269</v>
      </c>
      <c r="B126" s="50" t="s">
        <v>267</v>
      </c>
      <c r="C126" s="50" t="s">
        <v>98</v>
      </c>
      <c r="D126" s="18" t="s">
        <v>268</v>
      </c>
      <c r="E126" s="53"/>
      <c r="F126" s="53"/>
      <c r="G126" s="53"/>
      <c r="H126" s="53">
        <f>I126+L126</f>
        <v>200</v>
      </c>
      <c r="I126" s="53"/>
      <c r="J126" s="53"/>
      <c r="K126" s="53"/>
      <c r="L126" s="53">
        <v>200</v>
      </c>
      <c r="M126" s="53">
        <v>200</v>
      </c>
      <c r="N126" s="53">
        <v>200</v>
      </c>
      <c r="O126" s="53">
        <f t="shared" si="26"/>
        <v>200</v>
      </c>
    </row>
    <row r="127" spans="1:15" ht="31.5">
      <c r="A127" s="50" t="s">
        <v>293</v>
      </c>
      <c r="B127" s="50" t="s">
        <v>291</v>
      </c>
      <c r="C127" s="50" t="s">
        <v>58</v>
      </c>
      <c r="D127" s="18" t="s">
        <v>258</v>
      </c>
      <c r="E127" s="53"/>
      <c r="F127" s="53"/>
      <c r="G127" s="53"/>
      <c r="H127" s="53">
        <f>I127+L127</f>
        <v>35100</v>
      </c>
      <c r="I127" s="53"/>
      <c r="J127" s="53"/>
      <c r="K127" s="53"/>
      <c r="L127" s="53">
        <f>100+10000+10000+5000+10000</f>
        <v>35100</v>
      </c>
      <c r="M127" s="53">
        <f>100+10000+10000+5000+10000</f>
        <v>35100</v>
      </c>
      <c r="N127" s="53">
        <f>100+10000+10000+5000+10000</f>
        <v>35100</v>
      </c>
      <c r="O127" s="53">
        <f t="shared" si="26"/>
        <v>35100</v>
      </c>
    </row>
    <row r="128" spans="1:15" ht="31.5">
      <c r="A128" s="50" t="s">
        <v>271</v>
      </c>
      <c r="B128" s="50" t="s">
        <v>270</v>
      </c>
      <c r="C128" s="50" t="s">
        <v>273</v>
      </c>
      <c r="D128" s="18" t="s">
        <v>272</v>
      </c>
      <c r="E128" s="53"/>
      <c r="F128" s="53"/>
      <c r="G128" s="53"/>
      <c r="H128" s="53">
        <f>I128+L128</f>
        <v>15000</v>
      </c>
      <c r="I128" s="53"/>
      <c r="J128" s="53"/>
      <c r="K128" s="53"/>
      <c r="L128" s="53">
        <v>15000</v>
      </c>
      <c r="M128" s="53">
        <v>15000</v>
      </c>
      <c r="N128" s="53">
        <v>15000</v>
      </c>
      <c r="O128" s="53">
        <f t="shared" si="26"/>
        <v>15000</v>
      </c>
    </row>
    <row r="129" spans="1:15" s="13" customFormat="1" ht="43.5">
      <c r="A129" s="46" t="s">
        <v>181</v>
      </c>
      <c r="B129" s="46"/>
      <c r="C129" s="46"/>
      <c r="D129" s="47" t="s">
        <v>24</v>
      </c>
      <c r="E129" s="49">
        <f>E130</f>
        <v>1824.7</v>
      </c>
      <c r="F129" s="49">
        <f t="shared" ref="F129:O129" si="27">F130</f>
        <v>1787</v>
      </c>
      <c r="G129" s="49">
        <f t="shared" si="27"/>
        <v>0</v>
      </c>
      <c r="H129" s="49">
        <f t="shared" si="27"/>
        <v>12</v>
      </c>
      <c r="I129" s="49">
        <f t="shared" si="27"/>
        <v>0</v>
      </c>
      <c r="J129" s="49">
        <f t="shared" si="27"/>
        <v>0</v>
      </c>
      <c r="K129" s="49">
        <f t="shared" si="27"/>
        <v>0</v>
      </c>
      <c r="L129" s="49">
        <f t="shared" si="27"/>
        <v>12</v>
      </c>
      <c r="M129" s="49">
        <f t="shared" si="27"/>
        <v>12</v>
      </c>
      <c r="N129" s="49">
        <f t="shared" si="27"/>
        <v>12</v>
      </c>
      <c r="O129" s="49">
        <f t="shared" si="27"/>
        <v>1836.7</v>
      </c>
    </row>
    <row r="130" spans="1:15" ht="43.5">
      <c r="A130" s="46" t="s">
        <v>182</v>
      </c>
      <c r="B130" s="50"/>
      <c r="C130" s="50"/>
      <c r="D130" s="47" t="s">
        <v>24</v>
      </c>
      <c r="E130" s="49">
        <f>E131</f>
        <v>1824.7</v>
      </c>
      <c r="F130" s="49">
        <f>F131</f>
        <v>1787</v>
      </c>
      <c r="G130" s="49"/>
      <c r="H130" s="49">
        <f>I130+L130</f>
        <v>12</v>
      </c>
      <c r="I130" s="49"/>
      <c r="J130" s="49"/>
      <c r="K130" s="49"/>
      <c r="L130" s="49">
        <f>L131</f>
        <v>12</v>
      </c>
      <c r="M130" s="49">
        <f>M131</f>
        <v>12</v>
      </c>
      <c r="N130" s="49">
        <f>N131</f>
        <v>12</v>
      </c>
      <c r="O130" s="49">
        <f t="shared" si="26"/>
        <v>1836.7</v>
      </c>
    </row>
    <row r="131" spans="1:15" ht="47.25">
      <c r="A131" s="50" t="s">
        <v>183</v>
      </c>
      <c r="B131" s="50" t="s">
        <v>124</v>
      </c>
      <c r="C131" s="50" t="s">
        <v>32</v>
      </c>
      <c r="D131" s="18" t="s">
        <v>126</v>
      </c>
      <c r="E131" s="53">
        <v>1824.7</v>
      </c>
      <c r="F131" s="53">
        <f>1465+322</f>
        <v>1787</v>
      </c>
      <c r="G131" s="53"/>
      <c r="H131" s="53">
        <f>I131+L131</f>
        <v>12</v>
      </c>
      <c r="I131" s="53"/>
      <c r="J131" s="53"/>
      <c r="K131" s="53"/>
      <c r="L131" s="53">
        <v>12</v>
      </c>
      <c r="M131" s="53">
        <v>12</v>
      </c>
      <c r="N131" s="53">
        <v>12</v>
      </c>
      <c r="O131" s="53">
        <f t="shared" si="26"/>
        <v>1836.7</v>
      </c>
    </row>
    <row r="132" spans="1:15" ht="43.5">
      <c r="A132" s="46" t="s">
        <v>185</v>
      </c>
      <c r="B132" s="46"/>
      <c r="C132" s="46"/>
      <c r="D132" s="47" t="s">
        <v>23</v>
      </c>
      <c r="E132" s="49">
        <f>E133</f>
        <v>2188.1999999999998</v>
      </c>
      <c r="F132" s="49">
        <f t="shared" ref="F132:O132" si="28">F133</f>
        <v>1863</v>
      </c>
      <c r="G132" s="49">
        <f t="shared" si="28"/>
        <v>0</v>
      </c>
      <c r="H132" s="49">
        <f t="shared" si="28"/>
        <v>1790</v>
      </c>
      <c r="I132" s="49">
        <f t="shared" si="28"/>
        <v>0</v>
      </c>
      <c r="J132" s="49">
        <f t="shared" si="28"/>
        <v>0</v>
      </c>
      <c r="K132" s="49">
        <f t="shared" si="28"/>
        <v>0</v>
      </c>
      <c r="L132" s="49">
        <f t="shared" si="28"/>
        <v>1790</v>
      </c>
      <c r="M132" s="49">
        <f t="shared" si="28"/>
        <v>1790</v>
      </c>
      <c r="N132" s="49">
        <f t="shared" si="28"/>
        <v>1790</v>
      </c>
      <c r="O132" s="49">
        <f t="shared" si="28"/>
        <v>3978.2</v>
      </c>
    </row>
    <row r="133" spans="1:15" ht="43.5">
      <c r="A133" s="46" t="s">
        <v>186</v>
      </c>
      <c r="B133" s="50"/>
      <c r="C133" s="50"/>
      <c r="D133" s="47" t="s">
        <v>23</v>
      </c>
      <c r="E133" s="49">
        <f>E134+E135+E136+E137+E138</f>
        <v>2188.1999999999998</v>
      </c>
      <c r="F133" s="49">
        <f t="shared" ref="F133:N133" si="29">F134+F135+F136+F137+F138</f>
        <v>1863</v>
      </c>
      <c r="G133" s="49">
        <f t="shared" si="29"/>
        <v>0</v>
      </c>
      <c r="H133" s="49">
        <f>I133+L133</f>
        <v>1790</v>
      </c>
      <c r="I133" s="49">
        <f t="shared" si="29"/>
        <v>0</v>
      </c>
      <c r="J133" s="49">
        <f t="shared" si="29"/>
        <v>0</v>
      </c>
      <c r="K133" s="49">
        <f t="shared" si="29"/>
        <v>0</v>
      </c>
      <c r="L133" s="49">
        <f t="shared" si="29"/>
        <v>1790</v>
      </c>
      <c r="M133" s="49">
        <f t="shared" si="29"/>
        <v>1790</v>
      </c>
      <c r="N133" s="49">
        <f t="shared" si="29"/>
        <v>1790</v>
      </c>
      <c r="O133" s="49">
        <f t="shared" ref="O133:O138" si="30">E133+H133</f>
        <v>3978.2</v>
      </c>
    </row>
    <row r="134" spans="1:15" ht="47.25">
      <c r="A134" s="50" t="s">
        <v>187</v>
      </c>
      <c r="B134" s="50" t="s">
        <v>124</v>
      </c>
      <c r="C134" s="50" t="s">
        <v>32</v>
      </c>
      <c r="D134" s="18" t="s">
        <v>126</v>
      </c>
      <c r="E134" s="53">
        <v>1898.7</v>
      </c>
      <c r="F134" s="53">
        <f>1527+336</f>
        <v>1863</v>
      </c>
      <c r="G134" s="53"/>
      <c r="H134" s="53"/>
      <c r="I134" s="53"/>
      <c r="J134" s="53"/>
      <c r="K134" s="53"/>
      <c r="L134" s="53"/>
      <c r="M134" s="53"/>
      <c r="N134" s="53"/>
      <c r="O134" s="53">
        <f t="shared" si="30"/>
        <v>1898.7</v>
      </c>
    </row>
    <row r="135" spans="1:15" ht="31.5">
      <c r="A135" s="50" t="s">
        <v>206</v>
      </c>
      <c r="B135" s="50" t="s">
        <v>41</v>
      </c>
      <c r="C135" s="50" t="s">
        <v>37</v>
      </c>
      <c r="D135" s="18" t="s">
        <v>207</v>
      </c>
      <c r="E135" s="53">
        <v>100.5</v>
      </c>
      <c r="F135" s="53"/>
      <c r="G135" s="53"/>
      <c r="H135" s="53"/>
      <c r="I135" s="53"/>
      <c r="J135" s="53"/>
      <c r="K135" s="53"/>
      <c r="L135" s="53"/>
      <c r="M135" s="53"/>
      <c r="N135" s="53"/>
      <c r="O135" s="53">
        <f t="shared" si="30"/>
        <v>100.5</v>
      </c>
    </row>
    <row r="136" spans="1:15" ht="15.75">
      <c r="A136" s="50" t="s">
        <v>212</v>
      </c>
      <c r="B136" s="50" t="s">
        <v>211</v>
      </c>
      <c r="C136" s="50" t="s">
        <v>115</v>
      </c>
      <c r="D136" s="18" t="s">
        <v>213</v>
      </c>
      <c r="E136" s="53"/>
      <c r="F136" s="53"/>
      <c r="G136" s="53"/>
      <c r="H136" s="53">
        <f>I136+L136</f>
        <v>300</v>
      </c>
      <c r="I136" s="53"/>
      <c r="J136" s="53"/>
      <c r="K136" s="53"/>
      <c r="L136" s="53">
        <v>300</v>
      </c>
      <c r="M136" s="53">
        <v>300</v>
      </c>
      <c r="N136" s="53">
        <v>300</v>
      </c>
      <c r="O136" s="53">
        <f t="shared" si="30"/>
        <v>300</v>
      </c>
    </row>
    <row r="137" spans="1:15" ht="31.5">
      <c r="A137" s="50" t="s">
        <v>294</v>
      </c>
      <c r="B137" s="50" t="s">
        <v>291</v>
      </c>
      <c r="C137" s="50" t="s">
        <v>58</v>
      </c>
      <c r="D137" s="18" t="s">
        <v>258</v>
      </c>
      <c r="E137" s="53"/>
      <c r="F137" s="53"/>
      <c r="G137" s="53"/>
      <c r="H137" s="53">
        <f>I137+L137</f>
        <v>1490</v>
      </c>
      <c r="I137" s="53"/>
      <c r="J137" s="53"/>
      <c r="K137" s="53"/>
      <c r="L137" s="53">
        <v>1490</v>
      </c>
      <c r="M137" s="53">
        <v>1490</v>
      </c>
      <c r="N137" s="53">
        <v>1490</v>
      </c>
      <c r="O137" s="53">
        <f t="shared" si="30"/>
        <v>1490</v>
      </c>
    </row>
    <row r="138" spans="1:15" ht="30">
      <c r="A138" s="50" t="s">
        <v>209</v>
      </c>
      <c r="B138" s="50" t="s">
        <v>208</v>
      </c>
      <c r="C138" s="50" t="s">
        <v>58</v>
      </c>
      <c r="D138" s="54" t="s">
        <v>210</v>
      </c>
      <c r="E138" s="53">
        <v>189</v>
      </c>
      <c r="F138" s="53"/>
      <c r="G138" s="53"/>
      <c r="H138" s="53"/>
      <c r="I138" s="53"/>
      <c r="J138" s="53"/>
      <c r="K138" s="53"/>
      <c r="L138" s="53"/>
      <c r="M138" s="53"/>
      <c r="N138" s="53"/>
      <c r="O138" s="53">
        <f t="shared" si="30"/>
        <v>189</v>
      </c>
    </row>
    <row r="139" spans="1:15" s="13" customFormat="1" ht="29.25">
      <c r="A139" s="46" t="s">
        <v>188</v>
      </c>
      <c r="B139" s="46"/>
      <c r="C139" s="46"/>
      <c r="D139" s="47" t="s">
        <v>16</v>
      </c>
      <c r="E139" s="49">
        <f>E140</f>
        <v>61279.9</v>
      </c>
      <c r="F139" s="49">
        <f t="shared" ref="F139:O139" si="31">F140</f>
        <v>2766.1</v>
      </c>
      <c r="G139" s="49">
        <f t="shared" si="31"/>
        <v>0</v>
      </c>
      <c r="H139" s="49">
        <f t="shared" si="31"/>
        <v>15096</v>
      </c>
      <c r="I139" s="49">
        <f t="shared" si="31"/>
        <v>0</v>
      </c>
      <c r="J139" s="49">
        <f t="shared" si="31"/>
        <v>0</v>
      </c>
      <c r="K139" s="49">
        <f t="shared" si="31"/>
        <v>0</v>
      </c>
      <c r="L139" s="49">
        <f t="shared" si="31"/>
        <v>15096</v>
      </c>
      <c r="M139" s="49">
        <f t="shared" si="31"/>
        <v>15096</v>
      </c>
      <c r="N139" s="49">
        <f t="shared" si="31"/>
        <v>15096</v>
      </c>
      <c r="O139" s="49">
        <f t="shared" si="31"/>
        <v>76375.899999999994</v>
      </c>
    </row>
    <row r="140" spans="1:15" ht="29.25">
      <c r="A140" s="46" t="s">
        <v>189</v>
      </c>
      <c r="B140" s="50"/>
      <c r="C140" s="50"/>
      <c r="D140" s="47" t="s">
        <v>16</v>
      </c>
      <c r="E140" s="49">
        <f>E141+E142+E143+E144</f>
        <v>61279.9</v>
      </c>
      <c r="F140" s="49">
        <f>F141+F142+F143+F144</f>
        <v>2766.1</v>
      </c>
      <c r="G140" s="49">
        <f>G141+G142+G143+G144</f>
        <v>0</v>
      </c>
      <c r="H140" s="49">
        <f>I140+L140</f>
        <v>15096</v>
      </c>
      <c r="I140" s="49">
        <f t="shared" ref="I140:N140" si="32">I141+I142+I143+I144</f>
        <v>0</v>
      </c>
      <c r="J140" s="49">
        <f t="shared" si="32"/>
        <v>0</v>
      </c>
      <c r="K140" s="49">
        <f t="shared" si="32"/>
        <v>0</v>
      </c>
      <c r="L140" s="49">
        <f t="shared" si="32"/>
        <v>15096</v>
      </c>
      <c r="M140" s="49">
        <f t="shared" si="32"/>
        <v>15096</v>
      </c>
      <c r="N140" s="49">
        <f t="shared" si="32"/>
        <v>15096</v>
      </c>
      <c r="O140" s="49">
        <f t="shared" si="26"/>
        <v>76375.899999999994</v>
      </c>
    </row>
    <row r="141" spans="1:15" ht="47.25">
      <c r="A141" s="50" t="s">
        <v>190</v>
      </c>
      <c r="B141" s="50" t="s">
        <v>124</v>
      </c>
      <c r="C141" s="50" t="s">
        <v>32</v>
      </c>
      <c r="D141" s="18" t="s">
        <v>126</v>
      </c>
      <c r="E141" s="53">
        <f>2840.9+55</f>
        <v>2895.9</v>
      </c>
      <c r="F141" s="53">
        <f>2222.2+488.9+55</f>
        <v>2766.1</v>
      </c>
      <c r="G141" s="53"/>
      <c r="H141" s="53">
        <f>I141+L141</f>
        <v>20</v>
      </c>
      <c r="I141" s="53"/>
      <c r="J141" s="53"/>
      <c r="K141" s="53"/>
      <c r="L141" s="53">
        <v>20</v>
      </c>
      <c r="M141" s="53">
        <v>20</v>
      </c>
      <c r="N141" s="53">
        <v>20</v>
      </c>
      <c r="O141" s="53">
        <f t="shared" si="26"/>
        <v>2915.9</v>
      </c>
    </row>
    <row r="142" spans="1:15">
      <c r="A142" s="50" t="s">
        <v>214</v>
      </c>
      <c r="B142" s="50" t="s">
        <v>41</v>
      </c>
      <c r="C142" s="50" t="s">
        <v>37</v>
      </c>
      <c r="D142" s="54" t="s">
        <v>207</v>
      </c>
      <c r="E142" s="53">
        <f>100+6000</f>
        <v>6100</v>
      </c>
      <c r="F142" s="53"/>
      <c r="G142" s="53"/>
      <c r="H142" s="53">
        <f>I142+L142</f>
        <v>15076</v>
      </c>
      <c r="I142" s="53"/>
      <c r="J142" s="53"/>
      <c r="K142" s="53"/>
      <c r="L142" s="53">
        <f>13873+5000-2297-500-1000</f>
        <v>15076</v>
      </c>
      <c r="M142" s="53">
        <f>13873+5000-2297-500-1000</f>
        <v>15076</v>
      </c>
      <c r="N142" s="53">
        <f>13873+5000-2297-500-1000</f>
        <v>15076</v>
      </c>
      <c r="O142" s="53">
        <f t="shared" si="26"/>
        <v>21176</v>
      </c>
    </row>
    <row r="143" spans="1:15">
      <c r="A143" s="50" t="s">
        <v>218</v>
      </c>
      <c r="B143" s="50" t="s">
        <v>217</v>
      </c>
      <c r="C143" s="50" t="s">
        <v>37</v>
      </c>
      <c r="D143" s="54" t="s">
        <v>12</v>
      </c>
      <c r="E143" s="53">
        <f>3000+3000</f>
        <v>6000</v>
      </c>
      <c r="F143" s="53"/>
      <c r="G143" s="53"/>
      <c r="H143" s="53"/>
      <c r="I143" s="53"/>
      <c r="J143" s="53"/>
      <c r="K143" s="53"/>
      <c r="L143" s="53"/>
      <c r="M143" s="53"/>
      <c r="N143" s="53"/>
      <c r="O143" s="53">
        <f t="shared" si="26"/>
        <v>6000</v>
      </c>
    </row>
    <row r="144" spans="1:15">
      <c r="A144" s="50" t="s">
        <v>216</v>
      </c>
      <c r="B144" s="50" t="s">
        <v>215</v>
      </c>
      <c r="C144" s="50" t="s">
        <v>41</v>
      </c>
      <c r="D144" s="54" t="s">
        <v>13</v>
      </c>
      <c r="E144" s="53">
        <v>46284</v>
      </c>
      <c r="F144" s="53"/>
      <c r="G144" s="53"/>
      <c r="H144" s="53"/>
      <c r="I144" s="53"/>
      <c r="J144" s="53"/>
      <c r="K144" s="53"/>
      <c r="L144" s="53"/>
      <c r="M144" s="53"/>
      <c r="N144" s="53"/>
      <c r="O144" s="53">
        <f t="shared" si="26"/>
        <v>46284</v>
      </c>
    </row>
    <row r="145" spans="1:15">
      <c r="A145" s="50"/>
      <c r="B145" s="50"/>
      <c r="C145" s="50"/>
      <c r="D145" s="61" t="s">
        <v>11</v>
      </c>
      <c r="E145" s="49">
        <f>E14+E31+E35+E39+E43+E61+E86+E91+E100+E109+E123+E129+E132+E139</f>
        <v>658544.79999999993</v>
      </c>
      <c r="F145" s="49">
        <f>F14+F31+F35+F39+F43+F61+F86+F91+F100+F109+F123+F129+F132+F139</f>
        <v>246322.50000000003</v>
      </c>
      <c r="G145" s="49">
        <f>G14+G31+G35+G39+G43+G61+G86+G91+G100+G109+G123+G129+G132+G139</f>
        <v>26806.400000000001</v>
      </c>
      <c r="H145" s="49">
        <f>I145+L145</f>
        <v>157751.201</v>
      </c>
      <c r="I145" s="49">
        <f t="shared" ref="I145:N145" si="33">I14+I31+I35+I39+I43+I61+I86+I91+I100+I109+I123+I129+I132+I139</f>
        <v>19090.200999999997</v>
      </c>
      <c r="J145" s="49">
        <f t="shared" si="33"/>
        <v>233.8</v>
      </c>
      <c r="K145" s="49">
        <f t="shared" si="33"/>
        <v>0</v>
      </c>
      <c r="L145" s="49">
        <f t="shared" si="33"/>
        <v>138661</v>
      </c>
      <c r="M145" s="49">
        <f t="shared" si="33"/>
        <v>138607</v>
      </c>
      <c r="N145" s="49">
        <f t="shared" si="33"/>
        <v>132607</v>
      </c>
      <c r="O145" s="49">
        <f>E145+H145</f>
        <v>816296.00099999993</v>
      </c>
    </row>
    <row r="146" spans="1:15">
      <c r="D146" s="62"/>
      <c r="E146" s="62"/>
      <c r="F146" s="62"/>
      <c r="G146" s="62"/>
      <c r="J146" s="63"/>
      <c r="K146" s="63"/>
      <c r="L146" s="63"/>
      <c r="M146" s="63"/>
      <c r="N146" s="63"/>
      <c r="O146" s="63"/>
    </row>
    <row r="147" spans="1:15" s="22" customFormat="1" ht="18.75">
      <c r="A147" s="64"/>
      <c r="B147" s="64"/>
      <c r="C147" s="64"/>
      <c r="D147" s="22" t="s">
        <v>108</v>
      </c>
      <c r="E147" s="65"/>
      <c r="L147" s="22" t="s">
        <v>109</v>
      </c>
    </row>
    <row r="148" spans="1:15" s="2" customFormat="1">
      <c r="A148" s="6"/>
      <c r="B148" s="6"/>
      <c r="C148" s="6"/>
      <c r="D148" s="32"/>
      <c r="E148" s="17"/>
      <c r="K148" s="32"/>
    </row>
    <row r="149" spans="1:15" s="2" customFormat="1">
      <c r="A149" s="6"/>
      <c r="B149" s="6"/>
      <c r="C149" s="6"/>
      <c r="D149" s="32"/>
      <c r="E149" s="17"/>
      <c r="K149" s="32"/>
    </row>
    <row r="150" spans="1:15">
      <c r="E150" s="66"/>
      <c r="F150" s="66"/>
      <c r="G150" s="66"/>
      <c r="H150" s="66"/>
      <c r="I150" s="66"/>
      <c r="J150" s="14"/>
      <c r="K150" s="14"/>
      <c r="L150" s="14"/>
      <c r="M150" s="66"/>
      <c r="N150" s="66"/>
      <c r="O150" s="66"/>
    </row>
    <row r="151" spans="1:15"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</row>
    <row r="152" spans="1:15">
      <c r="E152" s="14"/>
      <c r="F152" s="14"/>
      <c r="G152" s="14"/>
      <c r="H152" s="67">
        <v>480</v>
      </c>
      <c r="I152" s="68" t="s">
        <v>359</v>
      </c>
      <c r="J152" s="14"/>
      <c r="K152" s="14"/>
      <c r="L152" s="14"/>
      <c r="M152" s="14"/>
      <c r="N152" s="14"/>
      <c r="O152" s="34"/>
    </row>
    <row r="153" spans="1:15" ht="18.75">
      <c r="E153" s="14" t="e">
        <f>SUM(E157:E166)</f>
        <v>#REF!</v>
      </c>
      <c r="F153" s="14"/>
      <c r="G153" s="14"/>
      <c r="H153" s="69">
        <v>18564.901000000002</v>
      </c>
      <c r="I153" s="70" t="s">
        <v>360</v>
      </c>
      <c r="J153" s="14"/>
      <c r="K153" s="14"/>
      <c r="L153" s="14"/>
      <c r="M153" s="14"/>
      <c r="N153" s="14"/>
      <c r="O153" s="14"/>
    </row>
    <row r="154" spans="1:15">
      <c r="E154" s="14"/>
      <c r="F154" s="14"/>
      <c r="G154" s="14"/>
      <c r="H154" s="69">
        <f>1808+500+5000+5000+520+2533+40300+70+300+15000+4000+3610+17203+2000+4000+1900+1000+10000+13873+5000+1490</f>
        <v>135107</v>
      </c>
      <c r="I154" s="71" t="s">
        <v>361</v>
      </c>
      <c r="J154" s="14"/>
      <c r="K154" s="14"/>
      <c r="L154" s="14"/>
      <c r="M154" s="14"/>
      <c r="N154" s="14"/>
      <c r="O154" s="14"/>
    </row>
    <row r="155" spans="1:15">
      <c r="E155" s="14"/>
      <c r="F155" s="14"/>
      <c r="G155" s="14"/>
      <c r="H155" s="69">
        <v>50000</v>
      </c>
      <c r="I155" s="71" t="s">
        <v>362</v>
      </c>
      <c r="J155" s="14"/>
      <c r="K155" s="14"/>
      <c r="L155" s="14"/>
      <c r="M155" s="14"/>
      <c r="N155" s="14"/>
      <c r="O155" s="14"/>
    </row>
    <row r="156" spans="1:15">
      <c r="D156" s="72" t="s">
        <v>363</v>
      </c>
      <c r="E156" s="14"/>
      <c r="F156" s="14"/>
      <c r="G156" s="14"/>
      <c r="H156" s="14"/>
      <c r="I156" s="14"/>
      <c r="L156" s="14"/>
      <c r="M156" s="14"/>
      <c r="N156" s="14"/>
    </row>
    <row r="157" spans="1:15">
      <c r="D157" s="4" t="s">
        <v>364</v>
      </c>
      <c r="E157" s="34">
        <f t="shared" ref="E157:O157" si="34">E16+E17+E18+E33+E37+E41+E45+E63+E88+E93+E102+E111+E125+E131+E134+E141+E142+E135</f>
        <v>59517.30000000001</v>
      </c>
      <c r="F157" s="34">
        <f t="shared" si="34"/>
        <v>45269.1</v>
      </c>
      <c r="G157" s="34">
        <f t="shared" si="34"/>
        <v>2463.3999999999996</v>
      </c>
      <c r="H157" s="34">
        <f t="shared" si="34"/>
        <v>17549</v>
      </c>
      <c r="I157" s="34">
        <f t="shared" si="34"/>
        <v>165</v>
      </c>
      <c r="J157" s="34">
        <f t="shared" si="34"/>
        <v>0</v>
      </c>
      <c r="K157" s="34">
        <f t="shared" si="34"/>
        <v>0</v>
      </c>
      <c r="L157" s="34">
        <f t="shared" si="34"/>
        <v>17384</v>
      </c>
      <c r="M157" s="34">
        <f t="shared" si="34"/>
        <v>17384</v>
      </c>
      <c r="N157" s="34">
        <f t="shared" si="34"/>
        <v>17384</v>
      </c>
      <c r="O157" s="34">
        <f t="shared" si="34"/>
        <v>77066.3</v>
      </c>
    </row>
    <row r="158" spans="1:15">
      <c r="D158" s="4" t="s">
        <v>365</v>
      </c>
      <c r="E158" s="34">
        <f>E46+E47+E49+E51+E53+E54+E55+E56+E94+E57</f>
        <v>221314</v>
      </c>
      <c r="F158" s="34">
        <f t="shared" ref="F158:O158" si="35">F46+F47+F49+F51+F53+F54+F55+F56+F94+F57</f>
        <v>180691.80000000002</v>
      </c>
      <c r="G158" s="34">
        <f t="shared" si="35"/>
        <v>22499.700000000004</v>
      </c>
      <c r="H158" s="34">
        <f t="shared" si="35"/>
        <v>18035.300999999999</v>
      </c>
      <c r="I158" s="34">
        <f t="shared" si="35"/>
        <v>10015.300999999999</v>
      </c>
      <c r="J158" s="34">
        <f t="shared" si="35"/>
        <v>194.8</v>
      </c>
      <c r="K158" s="34">
        <f t="shared" si="35"/>
        <v>0</v>
      </c>
      <c r="L158" s="34">
        <f t="shared" si="35"/>
        <v>8020</v>
      </c>
      <c r="M158" s="34">
        <f t="shared" si="35"/>
        <v>8000</v>
      </c>
      <c r="N158" s="34">
        <f t="shared" si="35"/>
        <v>8000</v>
      </c>
      <c r="O158" s="34">
        <f t="shared" si="35"/>
        <v>239308.40099999998</v>
      </c>
    </row>
    <row r="159" spans="1:15">
      <c r="D159" s="4" t="s">
        <v>366</v>
      </c>
      <c r="E159" s="34">
        <f>E19+E20+E21+E22</f>
        <v>93695.8</v>
      </c>
      <c r="F159" s="34">
        <f t="shared" ref="F159:O159" si="36">F19+F20</f>
        <v>0</v>
      </c>
      <c r="G159" s="34">
        <f t="shared" si="36"/>
        <v>0</v>
      </c>
      <c r="H159" s="34">
        <f t="shared" si="36"/>
        <v>15644.6</v>
      </c>
      <c r="I159" s="34">
        <f t="shared" si="36"/>
        <v>8104.6</v>
      </c>
      <c r="J159" s="34">
        <f t="shared" si="36"/>
        <v>0</v>
      </c>
      <c r="K159" s="34">
        <f t="shared" si="36"/>
        <v>0</v>
      </c>
      <c r="L159" s="34">
        <f t="shared" si="36"/>
        <v>7540</v>
      </c>
      <c r="M159" s="34">
        <f t="shared" si="36"/>
        <v>7520</v>
      </c>
      <c r="N159" s="34">
        <f t="shared" si="36"/>
        <v>7520</v>
      </c>
      <c r="O159" s="34">
        <f t="shared" si="36"/>
        <v>106016.90000000001</v>
      </c>
    </row>
    <row r="160" spans="1:15">
      <c r="D160" s="4" t="s">
        <v>367</v>
      </c>
      <c r="E160" s="34" t="e">
        <f>E23+E58+E59+E64+E65+E66+E67+E68+E69+E70+E71+E72+E73+E74+E75+E76+E77+E79+E80+E81+E82+E83+E84+E85+E89+E90+E104+#REF!+E105+E112</f>
        <v>#REF!</v>
      </c>
      <c r="F160" s="34" t="e">
        <f>F23+F58+F59+F64+F65+F66+F67+F68+F69+F70+F71+F72+F73+F74+F75+F76+F77+F79+F80+F81+F82+F83+F84+F85+F89+F90+F104+#REF!+F105+F112</f>
        <v>#REF!</v>
      </c>
      <c r="G160" s="34" t="e">
        <f>G23+G58+G59+G64+G65+G66+G67+G68+G69+G70+G71+G72+G73+G74+G75+G76+G77+G79+G80+G81+G82+G83+G84+G85+G89+G90+G104+#REF!+G105+G112</f>
        <v>#REF!</v>
      </c>
      <c r="H160" s="34" t="e">
        <f>H23+H58+H59+H64+H65+H66+H67+H68+H69+H70+H71+H72+H73+H74+H75+H76+H77+H79+H80+H81+H82+H83+H84+H85+H89+H90+H104+#REF!+H105+H112</f>
        <v>#REF!</v>
      </c>
      <c r="I160" s="34" t="e">
        <f>I23+I58+I59+I64+I65+I66+I67+I68+I69+I70+I71+I72+I73+I74+I75+I76+I77+I79+I80+I81+I82+I83+I84+I85+I89+I90+I104+#REF!+I105+I112</f>
        <v>#REF!</v>
      </c>
      <c r="J160" s="34" t="e">
        <f>J23+J58+J59+J64+J65+J66+J67+J68+J69+J70+J71+J72+J73+J74+J75+J76+J77+J79+J80+J81+J82+J83+J84+J85+J89+J90+J104+#REF!+J105+J112</f>
        <v>#REF!</v>
      </c>
      <c r="K160" s="34" t="e">
        <f>K23+K58+K59+K64+K65+K66+K67+K68+K69+K70+K71+K72+K73+K74+K75+K76+K77+K79+K80+K81+K82+K83+K84+K85+K89+K90+K104+#REF!+K105+K112</f>
        <v>#REF!</v>
      </c>
      <c r="L160" s="34" t="e">
        <f>L23+L58+L59+L64+L65+L66+L67+L68+L69+L70+L71+L72+L73+L74+L75+L76+L77+L79+L80+L81+L82+L83+L84+L85+L89+L90+L104+#REF!+L105+L112</f>
        <v>#REF!</v>
      </c>
      <c r="M160" s="34" t="e">
        <f>M23+M58+M59+M64+M65+M66+M67+M68+M69+M70+M71+M72+M73+M74+M75+M76+M77+M79+M80+M81+M82+M83+M84+M85+M89+M90+M104+#REF!+M105+M112</f>
        <v>#REF!</v>
      </c>
      <c r="N160" s="34" t="e">
        <f>N23+N58+N59+N64+N65+N66+N67+N68+N69+N70+N71+N72+N73+N74+N75+N76+N77+N79+N80+N81+N82+N83+N84+N85+N89+N90+N104+#REF!+N105+N112</f>
        <v>#REF!</v>
      </c>
      <c r="O160" s="34" t="e">
        <f>O23+O58+O59+O64+O65+O66+O67+O68+O69+O70+O71+O72+O73+O74+O75+O76+O77+O79+O80+O81+O82+O83+O84+O85+O89+O90+O104+#REF!+O105+O112</f>
        <v>#REF!</v>
      </c>
    </row>
    <row r="161" spans="4:15">
      <c r="D161" s="4" t="s">
        <v>368</v>
      </c>
      <c r="E161" s="34">
        <f>E95+E96+E97+E98+E99</f>
        <v>14020.500000000002</v>
      </c>
      <c r="F161" s="34">
        <f t="shared" ref="F161:O161" si="37">F95+F96+F97+F98+F99</f>
        <v>10081.799999999999</v>
      </c>
      <c r="G161" s="34">
        <f t="shared" si="37"/>
        <v>1416.7</v>
      </c>
      <c r="H161" s="34">
        <f t="shared" si="37"/>
        <v>2759</v>
      </c>
      <c r="I161" s="34">
        <f t="shared" si="37"/>
        <v>226</v>
      </c>
      <c r="J161" s="34">
        <f t="shared" si="37"/>
        <v>39</v>
      </c>
      <c r="K161" s="34">
        <f t="shared" si="37"/>
        <v>0</v>
      </c>
      <c r="L161" s="34">
        <f t="shared" si="37"/>
        <v>2533</v>
      </c>
      <c r="M161" s="34">
        <f t="shared" si="37"/>
        <v>2533</v>
      </c>
      <c r="N161" s="34">
        <f t="shared" si="37"/>
        <v>2533</v>
      </c>
      <c r="O161" s="34">
        <f t="shared" si="37"/>
        <v>16779.5</v>
      </c>
    </row>
    <row r="162" spans="4:15">
      <c r="D162" s="4" t="s">
        <v>369</v>
      </c>
      <c r="E162" s="34">
        <f t="shared" ref="E162:O162" si="38">E60+E107+E108+E106</f>
        <v>5356</v>
      </c>
      <c r="F162" s="34">
        <f t="shared" si="38"/>
        <v>3658.7</v>
      </c>
      <c r="G162" s="34">
        <f t="shared" si="38"/>
        <v>264.89999999999998</v>
      </c>
      <c r="H162" s="34">
        <f t="shared" si="38"/>
        <v>0</v>
      </c>
      <c r="I162" s="34">
        <f t="shared" si="38"/>
        <v>0</v>
      </c>
      <c r="J162" s="34">
        <f t="shared" si="38"/>
        <v>0</v>
      </c>
      <c r="K162" s="34">
        <f t="shared" si="38"/>
        <v>0</v>
      </c>
      <c r="L162" s="34">
        <f t="shared" si="38"/>
        <v>0</v>
      </c>
      <c r="M162" s="34">
        <f t="shared" si="38"/>
        <v>0</v>
      </c>
      <c r="N162" s="34">
        <f t="shared" si="38"/>
        <v>0</v>
      </c>
      <c r="O162" s="34">
        <f t="shared" si="38"/>
        <v>5356</v>
      </c>
    </row>
    <row r="163" spans="4:15">
      <c r="D163" s="73">
        <v>6</v>
      </c>
      <c r="E163" s="34">
        <f t="shared" ref="E163:O163" si="39">E34+E38+E42+E113+E114+E115+E116+E117+E126</f>
        <v>45600.100000000006</v>
      </c>
      <c r="F163" s="34">
        <f t="shared" si="39"/>
        <v>0</v>
      </c>
      <c r="G163" s="34">
        <f t="shared" si="39"/>
        <v>0</v>
      </c>
      <c r="H163" s="34">
        <f t="shared" si="39"/>
        <v>30280</v>
      </c>
      <c r="I163" s="34">
        <f t="shared" si="39"/>
        <v>0</v>
      </c>
      <c r="J163" s="34">
        <f t="shared" si="39"/>
        <v>0</v>
      </c>
      <c r="K163" s="34">
        <f t="shared" si="39"/>
        <v>0</v>
      </c>
      <c r="L163" s="34">
        <f t="shared" si="39"/>
        <v>30280</v>
      </c>
      <c r="M163" s="34">
        <f t="shared" si="39"/>
        <v>30280</v>
      </c>
      <c r="N163" s="34">
        <f t="shared" si="39"/>
        <v>25280</v>
      </c>
      <c r="O163" s="34">
        <f t="shared" si="39"/>
        <v>75880.100000000006</v>
      </c>
    </row>
    <row r="164" spans="4:15">
      <c r="D164" s="73">
        <v>7</v>
      </c>
      <c r="E164" s="34">
        <f t="shared" ref="E164:O164" si="40">E24+E25+E26+E27+E118+E119+E120+E121+E127+E136+E137+E138</f>
        <v>19060.7</v>
      </c>
      <c r="F164" s="34">
        <f t="shared" si="40"/>
        <v>0</v>
      </c>
      <c r="G164" s="34">
        <f t="shared" si="40"/>
        <v>0</v>
      </c>
      <c r="H164" s="34">
        <f t="shared" si="40"/>
        <v>57890</v>
      </c>
      <c r="I164" s="34">
        <f t="shared" si="40"/>
        <v>0</v>
      </c>
      <c r="J164" s="34">
        <f t="shared" si="40"/>
        <v>0</v>
      </c>
      <c r="K164" s="34">
        <f t="shared" si="40"/>
        <v>0</v>
      </c>
      <c r="L164" s="34">
        <f t="shared" si="40"/>
        <v>57890</v>
      </c>
      <c r="M164" s="34">
        <f t="shared" si="40"/>
        <v>57890</v>
      </c>
      <c r="N164" s="34">
        <f t="shared" si="40"/>
        <v>56890</v>
      </c>
      <c r="O164" s="34">
        <f t="shared" si="40"/>
        <v>76950.7</v>
      </c>
    </row>
    <row r="165" spans="4:15">
      <c r="D165" s="73">
        <v>8</v>
      </c>
      <c r="E165" s="34">
        <f t="shared" ref="E165:O165" si="41">E28+E29+E30+E122+E128+E143</f>
        <v>9049.5</v>
      </c>
      <c r="F165" s="34">
        <f t="shared" si="41"/>
        <v>0</v>
      </c>
      <c r="G165" s="34">
        <f t="shared" si="41"/>
        <v>0</v>
      </c>
      <c r="H165" s="34">
        <f t="shared" si="41"/>
        <v>15579.3</v>
      </c>
      <c r="I165" s="34">
        <f t="shared" si="41"/>
        <v>579.29999999999995</v>
      </c>
      <c r="J165" s="34">
        <f t="shared" si="41"/>
        <v>0</v>
      </c>
      <c r="K165" s="34">
        <f t="shared" si="41"/>
        <v>0</v>
      </c>
      <c r="L165" s="34">
        <f t="shared" si="41"/>
        <v>15000</v>
      </c>
      <c r="M165" s="34">
        <f t="shared" si="41"/>
        <v>15000</v>
      </c>
      <c r="N165" s="34">
        <f t="shared" si="41"/>
        <v>15000</v>
      </c>
      <c r="O165" s="34">
        <f t="shared" si="41"/>
        <v>24628.799999999999</v>
      </c>
    </row>
    <row r="166" spans="4:15">
      <c r="D166" s="73">
        <v>9</v>
      </c>
      <c r="E166" s="34">
        <f>E144</f>
        <v>46284</v>
      </c>
      <c r="F166" s="34">
        <f t="shared" ref="F166:O166" si="42">F144</f>
        <v>0</v>
      </c>
      <c r="G166" s="34">
        <f t="shared" si="42"/>
        <v>0</v>
      </c>
      <c r="H166" s="34">
        <f t="shared" si="42"/>
        <v>0</v>
      </c>
      <c r="I166" s="34">
        <f t="shared" si="42"/>
        <v>0</v>
      </c>
      <c r="J166" s="34">
        <f t="shared" si="42"/>
        <v>0</v>
      </c>
      <c r="K166" s="34">
        <f t="shared" si="42"/>
        <v>0</v>
      </c>
      <c r="L166" s="34">
        <f t="shared" si="42"/>
        <v>0</v>
      </c>
      <c r="M166" s="34">
        <f t="shared" si="42"/>
        <v>0</v>
      </c>
      <c r="N166" s="34">
        <f t="shared" si="42"/>
        <v>0</v>
      </c>
      <c r="O166" s="34">
        <f t="shared" si="42"/>
        <v>46284</v>
      </c>
    </row>
    <row r="167" spans="4:15">
      <c r="E167" s="34"/>
      <c r="F167" s="34"/>
      <c r="G167" s="34"/>
      <c r="H167" s="14"/>
      <c r="I167" s="14"/>
      <c r="J167" s="14"/>
      <c r="K167" s="14"/>
      <c r="L167" s="14"/>
      <c r="M167" s="14"/>
      <c r="N167" s="14"/>
      <c r="O167" s="14"/>
    </row>
    <row r="168" spans="4:15">
      <c r="E168" s="34"/>
      <c r="F168" s="34"/>
      <c r="G168" s="34"/>
      <c r="H168" s="14"/>
      <c r="I168" s="14"/>
      <c r="J168" s="14"/>
      <c r="K168" s="14"/>
      <c r="L168" s="14"/>
      <c r="M168" s="14"/>
      <c r="N168" s="14"/>
      <c r="O168" s="14"/>
    </row>
    <row r="169" spans="4:15">
      <c r="E169" s="34"/>
      <c r="F169" s="34"/>
      <c r="G169" s="34"/>
      <c r="H169" s="14"/>
      <c r="I169" s="14"/>
      <c r="J169" s="14"/>
      <c r="K169" s="14"/>
      <c r="L169" s="14"/>
      <c r="M169" s="14"/>
      <c r="N169" s="14"/>
      <c r="O169" s="14"/>
    </row>
    <row r="170" spans="4:15">
      <c r="E170" s="34"/>
      <c r="F170" s="34"/>
      <c r="G170" s="34"/>
      <c r="H170" s="14"/>
      <c r="I170" s="14"/>
      <c r="J170" s="14"/>
      <c r="K170" s="14"/>
      <c r="L170" s="14"/>
      <c r="M170" s="14"/>
      <c r="N170" s="14"/>
      <c r="O170" s="14"/>
    </row>
    <row r="171" spans="4:15" ht="15.75">
      <c r="D171" s="46"/>
      <c r="E171" s="46"/>
      <c r="F171" s="74"/>
      <c r="G171" s="34"/>
      <c r="H171" s="14"/>
      <c r="I171" s="14"/>
      <c r="J171" s="14"/>
      <c r="K171" s="14"/>
      <c r="L171" s="14"/>
      <c r="M171" s="14"/>
      <c r="N171" s="14"/>
      <c r="O171" s="14"/>
    </row>
    <row r="172" spans="4:15">
      <c r="E172" s="34"/>
      <c r="F172" s="34"/>
      <c r="G172" s="34"/>
      <c r="H172" s="14"/>
      <c r="I172" s="14"/>
      <c r="J172" s="14"/>
      <c r="K172" s="14"/>
      <c r="L172" s="14"/>
      <c r="M172" s="14"/>
      <c r="N172" s="14"/>
      <c r="O172" s="14"/>
    </row>
    <row r="173" spans="4:15" ht="15.75">
      <c r="E173" s="34"/>
      <c r="F173" s="34"/>
      <c r="G173" s="12"/>
      <c r="H173" s="14"/>
      <c r="I173" s="14"/>
      <c r="J173" s="14"/>
      <c r="K173" s="14"/>
      <c r="L173" s="14"/>
      <c r="M173" s="14"/>
      <c r="N173" s="14"/>
      <c r="O173" s="14"/>
    </row>
    <row r="174" spans="4:15">
      <c r="E174" s="34"/>
      <c r="F174" s="34"/>
      <c r="G174" s="34"/>
      <c r="H174" s="14"/>
      <c r="I174" s="14"/>
      <c r="J174" s="14"/>
      <c r="K174" s="14"/>
      <c r="L174" s="14"/>
      <c r="M174" s="14"/>
      <c r="N174" s="14"/>
      <c r="O174" s="14"/>
    </row>
    <row r="175" spans="4:15">
      <c r="E175" s="34"/>
      <c r="F175" s="34"/>
      <c r="G175" s="34"/>
      <c r="H175" s="14"/>
      <c r="I175" s="14"/>
      <c r="J175" s="14"/>
      <c r="K175" s="14"/>
      <c r="L175" s="14"/>
      <c r="M175" s="14"/>
      <c r="N175" s="14"/>
      <c r="O175" s="14"/>
    </row>
    <row r="176" spans="4:15"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</row>
    <row r="177" spans="8:15">
      <c r="H177" s="14"/>
      <c r="I177" s="14"/>
      <c r="J177" s="14"/>
      <c r="K177" s="14"/>
      <c r="L177" s="14"/>
      <c r="M177" s="14"/>
      <c r="N177" s="14"/>
      <c r="O177" s="14"/>
    </row>
    <row r="178" spans="8:15">
      <c r="H178" s="14"/>
      <c r="I178" s="14"/>
      <c r="J178" s="14"/>
      <c r="K178" s="14"/>
      <c r="L178" s="14"/>
      <c r="M178" s="14"/>
      <c r="N178" s="14"/>
      <c r="O178" s="14"/>
    </row>
  </sheetData>
  <mergeCells count="22">
    <mergeCell ref="F11:F12"/>
    <mergeCell ref="G11:G12"/>
    <mergeCell ref="J11:J12"/>
    <mergeCell ref="K11:K12"/>
    <mergeCell ref="M11:M12"/>
    <mergeCell ref="L10:L12"/>
    <mergeCell ref="B5:O5"/>
    <mergeCell ref="A6:O6"/>
    <mergeCell ref="D7:O7"/>
    <mergeCell ref="A9:A12"/>
    <mergeCell ref="B9:B12"/>
    <mergeCell ref="C9:C12"/>
    <mergeCell ref="D9:D12"/>
    <mergeCell ref="E9:G9"/>
    <mergeCell ref="H9:N9"/>
    <mergeCell ref="O9:O12"/>
    <mergeCell ref="E10:E12"/>
    <mergeCell ref="F10:G10"/>
    <mergeCell ref="H10:H12"/>
    <mergeCell ref="I10:I12"/>
    <mergeCell ref="J10:K10"/>
    <mergeCell ref="M10:N10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75"/>
  <sheetViews>
    <sheetView view="pageBreakPreview" zoomScale="70" zoomScaleNormal="90" zoomScaleSheetLayoutView="70" workbookViewId="0">
      <pane xSplit="4" ySplit="10" topLeftCell="E168" activePane="bottomRight" state="frozen"/>
      <selection pane="topRight" activeCell="E1" sqref="E1"/>
      <selection pane="bottomLeft" activeCell="A13" sqref="A13"/>
      <selection pane="bottomRight" activeCell="D50" sqref="D50"/>
    </sheetView>
  </sheetViews>
  <sheetFormatPr defaultRowHeight="1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5.28515625" style="4" customWidth="1"/>
    <col min="13" max="13" width="16.28515625" style="4" customWidth="1"/>
    <col min="14" max="14" width="15.7109375" style="4" customWidth="1"/>
    <col min="15" max="15" width="17" style="4" customWidth="1"/>
    <col min="16" max="16" width="9.85546875" style="4" bestFit="1" customWidth="1"/>
    <col min="17" max="16384" width="9.140625" style="4"/>
  </cols>
  <sheetData>
    <row r="1" spans="1:15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5" t="s">
        <v>353</v>
      </c>
      <c r="M1" s="3"/>
      <c r="N1" s="3"/>
      <c r="O1" s="3"/>
    </row>
    <row r="2" spans="1:15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388</v>
      </c>
      <c r="M2" s="5"/>
      <c r="N2" s="3"/>
      <c r="O2" s="3"/>
    </row>
    <row r="3" spans="1:15">
      <c r="D3" s="2"/>
      <c r="E3" s="3"/>
      <c r="F3" s="3"/>
      <c r="G3" s="3"/>
      <c r="H3" s="3"/>
      <c r="I3" s="3"/>
      <c r="J3" s="3"/>
      <c r="K3" s="3"/>
      <c r="L3" s="33" t="s">
        <v>389</v>
      </c>
      <c r="M3" s="5"/>
      <c r="N3" s="3"/>
      <c r="O3" s="3"/>
    </row>
    <row r="4" spans="1:15" ht="48" customHeight="1">
      <c r="A4" s="146" t="s">
        <v>330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</row>
    <row r="5" spans="1:15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5" ht="15" customHeight="1">
      <c r="A6" s="140" t="s">
        <v>28</v>
      </c>
      <c r="B6" s="140" t="s">
        <v>29</v>
      </c>
      <c r="C6" s="143" t="s">
        <v>351</v>
      </c>
      <c r="D6" s="144" t="s">
        <v>31</v>
      </c>
      <c r="E6" s="145" t="s">
        <v>1</v>
      </c>
      <c r="F6" s="145"/>
      <c r="G6" s="145"/>
      <c r="H6" s="145" t="s">
        <v>6</v>
      </c>
      <c r="I6" s="145"/>
      <c r="J6" s="145"/>
      <c r="K6" s="145"/>
      <c r="L6" s="145"/>
      <c r="M6" s="145"/>
      <c r="N6" s="145"/>
      <c r="O6" s="145" t="s">
        <v>11</v>
      </c>
    </row>
    <row r="7" spans="1:15">
      <c r="A7" s="141"/>
      <c r="B7" s="141"/>
      <c r="C7" s="143"/>
      <c r="D7" s="144"/>
      <c r="E7" s="145" t="s">
        <v>2</v>
      </c>
      <c r="F7" s="145" t="s">
        <v>3</v>
      </c>
      <c r="G7" s="145"/>
      <c r="H7" s="145" t="s">
        <v>2</v>
      </c>
      <c r="I7" s="145" t="s">
        <v>7</v>
      </c>
      <c r="J7" s="145" t="s">
        <v>3</v>
      </c>
      <c r="K7" s="145"/>
      <c r="L7" s="145" t="s">
        <v>8</v>
      </c>
      <c r="M7" s="145" t="s">
        <v>3</v>
      </c>
      <c r="N7" s="145"/>
      <c r="O7" s="145"/>
    </row>
    <row r="8" spans="1:15" ht="15" customHeight="1">
      <c r="A8" s="141"/>
      <c r="B8" s="141"/>
      <c r="C8" s="143"/>
      <c r="D8" s="144"/>
      <c r="E8" s="145"/>
      <c r="F8" s="145" t="s">
        <v>4</v>
      </c>
      <c r="G8" s="145" t="s">
        <v>5</v>
      </c>
      <c r="H8" s="145"/>
      <c r="I8" s="145"/>
      <c r="J8" s="145" t="s">
        <v>4</v>
      </c>
      <c r="K8" s="145" t="s">
        <v>5</v>
      </c>
      <c r="L8" s="145"/>
      <c r="M8" s="145" t="s">
        <v>9</v>
      </c>
      <c r="N8" s="31" t="s">
        <v>3</v>
      </c>
      <c r="O8" s="145"/>
    </row>
    <row r="9" spans="1:15" ht="63">
      <c r="A9" s="142"/>
      <c r="B9" s="142"/>
      <c r="C9" s="143"/>
      <c r="D9" s="144"/>
      <c r="E9" s="145"/>
      <c r="F9" s="145"/>
      <c r="G9" s="145"/>
      <c r="H9" s="145"/>
      <c r="I9" s="145"/>
      <c r="J9" s="145"/>
      <c r="K9" s="145"/>
      <c r="L9" s="145"/>
      <c r="M9" s="145"/>
      <c r="N9" s="9" t="s">
        <v>10</v>
      </c>
      <c r="O9" s="145"/>
    </row>
    <row r="10" spans="1:15">
      <c r="A10" s="10">
        <v>1</v>
      </c>
      <c r="B10" s="10">
        <v>2</v>
      </c>
      <c r="C10" s="10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  <c r="L10" s="31">
        <v>12</v>
      </c>
      <c r="M10" s="31">
        <v>13</v>
      </c>
      <c r="N10" s="31">
        <v>14</v>
      </c>
      <c r="O10" s="31" t="s">
        <v>30</v>
      </c>
    </row>
    <row r="11" spans="1:15" s="13" customFormat="1" ht="31.5">
      <c r="A11" s="25" t="s">
        <v>137</v>
      </c>
      <c r="B11" s="25"/>
      <c r="C11" s="25"/>
      <c r="D11" s="26" t="s">
        <v>25</v>
      </c>
      <c r="E11" s="75">
        <f>E12</f>
        <v>4748.3999999999996</v>
      </c>
      <c r="F11" s="75">
        <f t="shared" ref="F11:N11" si="0">F12</f>
        <v>0</v>
      </c>
      <c r="G11" s="75">
        <f t="shared" si="0"/>
        <v>0</v>
      </c>
      <c r="H11" s="75">
        <f t="shared" si="0"/>
        <v>1491.38786</v>
      </c>
      <c r="I11" s="75">
        <f t="shared" si="0"/>
        <v>0</v>
      </c>
      <c r="J11" s="75">
        <f t="shared" si="0"/>
        <v>0</v>
      </c>
      <c r="K11" s="75">
        <f t="shared" si="0"/>
        <v>0</v>
      </c>
      <c r="L11" s="75">
        <f t="shared" si="0"/>
        <v>1491.38786</v>
      </c>
      <c r="M11" s="75">
        <f t="shared" si="0"/>
        <v>1491.38786</v>
      </c>
      <c r="N11" s="75">
        <f t="shared" si="0"/>
        <v>1491.38786</v>
      </c>
      <c r="O11" s="41">
        <f t="shared" ref="O11:O21" si="1">E11+H11</f>
        <v>6239.7878599999995</v>
      </c>
    </row>
    <row r="12" spans="1:15" ht="31.5">
      <c r="A12" s="25" t="s">
        <v>138</v>
      </c>
      <c r="B12" s="19"/>
      <c r="C12" s="19"/>
      <c r="D12" s="26" t="s">
        <v>25</v>
      </c>
      <c r="E12" s="41">
        <f>E13+E14+E15+E16+E21+E22+E23+E24+E26+E27+E28+E29+E31+E32+E30+E25</f>
        <v>4748.3999999999996</v>
      </c>
      <c r="F12" s="41">
        <f>F13+F14+F15+F16+F21+F24+F26+F27+F28+F29+F31+F32+F30</f>
        <v>0</v>
      </c>
      <c r="G12" s="41">
        <f>G13+G14+G15+G16+G21+G24+G26+G27+G28+G29+G31+G32+G30</f>
        <v>0</v>
      </c>
      <c r="H12" s="41">
        <f>I12+L12</f>
        <v>1491.38786</v>
      </c>
      <c r="I12" s="41">
        <f t="shared" ref="I12:N12" si="2">I13+I14+I15+I16+I21+I24+I26+I27+I28+I29+I31+I32+I30+I25</f>
        <v>0</v>
      </c>
      <c r="J12" s="41">
        <f t="shared" si="2"/>
        <v>0</v>
      </c>
      <c r="K12" s="41">
        <f t="shared" si="2"/>
        <v>0</v>
      </c>
      <c r="L12" s="41">
        <f t="shared" si="2"/>
        <v>1491.38786</v>
      </c>
      <c r="M12" s="41">
        <f t="shared" si="2"/>
        <v>1491.38786</v>
      </c>
      <c r="N12" s="41">
        <f t="shared" si="2"/>
        <v>1491.38786</v>
      </c>
      <c r="O12" s="41">
        <f t="shared" si="1"/>
        <v>6239.7878599999995</v>
      </c>
    </row>
    <row r="13" spans="1:15" s="29" customFormat="1" ht="78.75" hidden="1">
      <c r="A13" s="19" t="s">
        <v>139</v>
      </c>
      <c r="B13" s="19" t="s">
        <v>117</v>
      </c>
      <c r="C13" s="19" t="s">
        <v>32</v>
      </c>
      <c r="D13" s="18" t="s">
        <v>118</v>
      </c>
      <c r="E13" s="24"/>
      <c r="F13" s="24"/>
      <c r="G13" s="24"/>
      <c r="H13" s="24">
        <f>I13+L13</f>
        <v>0</v>
      </c>
      <c r="I13" s="24"/>
      <c r="J13" s="24"/>
      <c r="K13" s="24"/>
      <c r="L13" s="24"/>
      <c r="M13" s="24"/>
      <c r="N13" s="24"/>
      <c r="O13" s="24">
        <f t="shared" si="1"/>
        <v>0</v>
      </c>
    </row>
    <row r="14" spans="1:15" s="29" customFormat="1" ht="32.25" hidden="1" customHeight="1">
      <c r="A14" s="19" t="s">
        <v>237</v>
      </c>
      <c r="B14" s="19" t="s">
        <v>238</v>
      </c>
      <c r="C14" s="19" t="s">
        <v>239</v>
      </c>
      <c r="D14" s="18" t="s">
        <v>240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>
        <f t="shared" si="1"/>
        <v>0</v>
      </c>
    </row>
    <row r="15" spans="1:15" s="29" customFormat="1" ht="33" customHeight="1">
      <c r="A15" s="19" t="s">
        <v>247</v>
      </c>
      <c r="B15" s="19" t="s">
        <v>41</v>
      </c>
      <c r="C15" s="19" t="s">
        <v>37</v>
      </c>
      <c r="D15" s="23" t="s">
        <v>248</v>
      </c>
      <c r="E15" s="24">
        <v>186</v>
      </c>
      <c r="F15" s="24"/>
      <c r="G15" s="24"/>
      <c r="H15" s="24"/>
      <c r="I15" s="24"/>
      <c r="J15" s="24"/>
      <c r="K15" s="24"/>
      <c r="L15" s="24"/>
      <c r="M15" s="24"/>
      <c r="N15" s="24"/>
      <c r="O15" s="24">
        <f t="shared" si="1"/>
        <v>186</v>
      </c>
    </row>
    <row r="16" spans="1:15" s="29" customFormat="1" ht="33.75" customHeight="1">
      <c r="A16" s="19" t="s">
        <v>140</v>
      </c>
      <c r="B16" s="19" t="s">
        <v>69</v>
      </c>
      <c r="C16" s="19" t="s">
        <v>70</v>
      </c>
      <c r="D16" s="12" t="s">
        <v>344</v>
      </c>
      <c r="E16" s="24">
        <f>3612.4+100+100</f>
        <v>3812.4</v>
      </c>
      <c r="F16" s="24"/>
      <c r="G16" s="24"/>
      <c r="H16" s="24">
        <f>I16+L16</f>
        <v>1481.98786</v>
      </c>
      <c r="I16" s="24"/>
      <c r="J16" s="24"/>
      <c r="K16" s="24"/>
      <c r="L16" s="24">
        <f>1331.5615+150.42636</f>
        <v>1481.98786</v>
      </c>
      <c r="M16" s="24">
        <f>1331.5615+150.42636</f>
        <v>1481.98786</v>
      </c>
      <c r="N16" s="24">
        <f>1331.5615+150.42636</f>
        <v>1481.98786</v>
      </c>
      <c r="O16" s="24">
        <f t="shared" si="1"/>
        <v>5294.3878599999998</v>
      </c>
    </row>
    <row r="17" spans="1:15" s="37" customFormat="1" ht="36.75" customHeight="1">
      <c r="A17" s="35"/>
      <c r="B17" s="35"/>
      <c r="C17" s="35"/>
      <c r="D17" s="36" t="s">
        <v>377</v>
      </c>
      <c r="E17" s="76">
        <f>E19+E20</f>
        <v>58285.8</v>
      </c>
      <c r="F17" s="76"/>
      <c r="G17" s="76"/>
      <c r="H17" s="76">
        <f>I17+L17</f>
        <v>0</v>
      </c>
      <c r="I17" s="76"/>
      <c r="J17" s="76"/>
      <c r="K17" s="76"/>
      <c r="L17" s="76"/>
      <c r="M17" s="76"/>
      <c r="N17" s="76"/>
      <c r="O17" s="24">
        <f t="shared" si="1"/>
        <v>58285.8</v>
      </c>
    </row>
    <row r="18" spans="1:15" s="37" customFormat="1" ht="14.25" customHeight="1">
      <c r="A18" s="35"/>
      <c r="B18" s="35"/>
      <c r="C18" s="35"/>
      <c r="D18" s="36" t="s">
        <v>378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24"/>
    </row>
    <row r="19" spans="1:15" s="37" customFormat="1" ht="18" customHeight="1">
      <c r="A19" s="35"/>
      <c r="B19" s="35"/>
      <c r="C19" s="35"/>
      <c r="D19" s="36" t="s">
        <v>345</v>
      </c>
      <c r="E19" s="76">
        <f>9753.2</f>
        <v>9753.2000000000007</v>
      </c>
      <c r="F19" s="76"/>
      <c r="G19" s="76"/>
      <c r="H19" s="76">
        <f>I19+L19</f>
        <v>0</v>
      </c>
      <c r="I19" s="76"/>
      <c r="J19" s="76"/>
      <c r="K19" s="76"/>
      <c r="L19" s="76"/>
      <c r="M19" s="76"/>
      <c r="N19" s="76"/>
      <c r="O19" s="24">
        <f t="shared" si="1"/>
        <v>9753.2000000000007</v>
      </c>
    </row>
    <row r="20" spans="1:15" s="37" customFormat="1" ht="16.5" customHeight="1">
      <c r="A20" s="35"/>
      <c r="B20" s="35"/>
      <c r="C20" s="35"/>
      <c r="D20" s="36" t="s">
        <v>346</v>
      </c>
      <c r="E20" s="76">
        <v>48532.6</v>
      </c>
      <c r="F20" s="76"/>
      <c r="G20" s="76"/>
      <c r="H20" s="76">
        <f>I20+L20</f>
        <v>0</v>
      </c>
      <c r="I20" s="76"/>
      <c r="J20" s="76"/>
      <c r="K20" s="76"/>
      <c r="L20" s="76"/>
      <c r="M20" s="76"/>
      <c r="N20" s="76"/>
      <c r="O20" s="24">
        <f t="shared" si="1"/>
        <v>48532.6</v>
      </c>
    </row>
    <row r="21" spans="1:15" s="29" customFormat="1" ht="21.75" hidden="1" customHeight="1">
      <c r="A21" s="19" t="s">
        <v>141</v>
      </c>
      <c r="B21" s="19" t="s">
        <v>119</v>
      </c>
      <c r="C21" s="19" t="s">
        <v>71</v>
      </c>
      <c r="D21" s="12" t="s">
        <v>120</v>
      </c>
      <c r="E21" s="24"/>
      <c r="F21" s="24"/>
      <c r="G21" s="24"/>
      <c r="H21" s="24">
        <f>I21+L21</f>
        <v>0</v>
      </c>
      <c r="I21" s="24"/>
      <c r="J21" s="24"/>
      <c r="K21" s="24"/>
      <c r="L21" s="24"/>
      <c r="M21" s="24"/>
      <c r="N21" s="24"/>
      <c r="O21" s="24">
        <f t="shared" si="1"/>
        <v>0</v>
      </c>
    </row>
    <row r="22" spans="1:15" s="29" customFormat="1" ht="37.5" hidden="1" customHeight="1">
      <c r="A22" s="19" t="s">
        <v>281</v>
      </c>
      <c r="B22" s="19" t="s">
        <v>276</v>
      </c>
      <c r="C22" s="19" t="s">
        <v>277</v>
      </c>
      <c r="D22" s="12" t="s">
        <v>278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>
        <f>E22+H22</f>
        <v>0</v>
      </c>
    </row>
    <row r="23" spans="1:15" s="29" customFormat="1" ht="36" hidden="1" customHeight="1">
      <c r="A23" s="19" t="s">
        <v>282</v>
      </c>
      <c r="B23" s="19" t="s">
        <v>279</v>
      </c>
      <c r="C23" s="19" t="s">
        <v>277</v>
      </c>
      <c r="D23" s="12" t="s">
        <v>280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>
        <f>E23+H23</f>
        <v>0</v>
      </c>
    </row>
    <row r="24" spans="1:15" s="29" customFormat="1" ht="31.5" hidden="1">
      <c r="A24" s="19" t="s">
        <v>320</v>
      </c>
      <c r="B24" s="19" t="s">
        <v>318</v>
      </c>
      <c r="C24" s="19" t="s">
        <v>33</v>
      </c>
      <c r="D24" s="18" t="s">
        <v>319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>
        <f t="shared" ref="O24:O85" si="3">E24+H24</f>
        <v>0</v>
      </c>
    </row>
    <row r="25" spans="1:15" s="29" customFormat="1" ht="31.5">
      <c r="A25" s="19" t="s">
        <v>343</v>
      </c>
      <c r="B25" s="19" t="s">
        <v>263</v>
      </c>
      <c r="C25" s="19" t="s">
        <v>265</v>
      </c>
      <c r="D25" s="18" t="s">
        <v>266</v>
      </c>
      <c r="E25" s="24">
        <v>750</v>
      </c>
      <c r="F25" s="24"/>
      <c r="G25" s="24"/>
      <c r="H25" s="24">
        <f>I25+L25</f>
        <v>9.4</v>
      </c>
      <c r="I25" s="24"/>
      <c r="J25" s="24"/>
      <c r="K25" s="24"/>
      <c r="L25" s="24">
        <v>9.4</v>
      </c>
      <c r="M25" s="24">
        <v>9.4</v>
      </c>
      <c r="N25" s="24">
        <v>9.4</v>
      </c>
      <c r="O25" s="24">
        <f t="shared" si="3"/>
        <v>759.4</v>
      </c>
    </row>
    <row r="26" spans="1:15" s="29" customFormat="1" ht="31.5" hidden="1">
      <c r="A26" s="19" t="s">
        <v>245</v>
      </c>
      <c r="B26" s="19" t="s">
        <v>244</v>
      </c>
      <c r="C26" s="19" t="s">
        <v>35</v>
      </c>
      <c r="D26" s="18" t="s">
        <v>246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>
        <f t="shared" si="3"/>
        <v>0</v>
      </c>
    </row>
    <row r="27" spans="1:15" s="29" customFormat="1" ht="15.75" hidden="1">
      <c r="A27" s="19" t="s">
        <v>197</v>
      </c>
      <c r="B27" s="19" t="s">
        <v>196</v>
      </c>
      <c r="C27" s="19" t="s">
        <v>38</v>
      </c>
      <c r="D27" s="12" t="s">
        <v>39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>
        <f t="shared" si="3"/>
        <v>0</v>
      </c>
    </row>
    <row r="28" spans="1:15" s="29" customFormat="1" ht="31.5" hidden="1">
      <c r="A28" s="19" t="s">
        <v>242</v>
      </c>
      <c r="B28" s="19" t="s">
        <v>241</v>
      </c>
      <c r="C28" s="19" t="s">
        <v>58</v>
      </c>
      <c r="D28" s="12" t="s">
        <v>243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>
        <f t="shared" si="3"/>
        <v>0</v>
      </c>
    </row>
    <row r="29" spans="1:15" s="29" customFormat="1" ht="31.5" hidden="1">
      <c r="A29" s="19" t="s">
        <v>297</v>
      </c>
      <c r="B29" s="19" t="s">
        <v>296</v>
      </c>
      <c r="C29" s="19" t="s">
        <v>58</v>
      </c>
      <c r="D29" s="18" t="s">
        <v>298</v>
      </c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>
        <f t="shared" si="3"/>
        <v>0</v>
      </c>
    </row>
    <row r="30" spans="1:15" s="29" customFormat="1" ht="47.25" hidden="1">
      <c r="A30" s="19" t="s">
        <v>195</v>
      </c>
      <c r="B30" s="19" t="s">
        <v>194</v>
      </c>
      <c r="C30" s="19" t="s">
        <v>36</v>
      </c>
      <c r="D30" s="12" t="s">
        <v>299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>
        <f t="shared" si="3"/>
        <v>0</v>
      </c>
    </row>
    <row r="31" spans="1:15" s="29" customFormat="1" ht="31.5" hidden="1">
      <c r="A31" s="19" t="s">
        <v>275</v>
      </c>
      <c r="B31" s="19" t="s">
        <v>274</v>
      </c>
      <c r="C31" s="19" t="s">
        <v>101</v>
      </c>
      <c r="D31" s="18" t="s">
        <v>295</v>
      </c>
      <c r="E31" s="24"/>
      <c r="F31" s="24"/>
      <c r="G31" s="24"/>
      <c r="H31" s="24">
        <f>I31+L31</f>
        <v>0</v>
      </c>
      <c r="I31" s="24"/>
      <c r="J31" s="24"/>
      <c r="K31" s="24"/>
      <c r="L31" s="24"/>
      <c r="M31" s="24"/>
      <c r="N31" s="24"/>
      <c r="O31" s="24">
        <f t="shared" si="3"/>
        <v>0</v>
      </c>
    </row>
    <row r="32" spans="1:15" s="29" customFormat="1" ht="31.5" hidden="1">
      <c r="A32" s="19" t="s">
        <v>192</v>
      </c>
      <c r="B32" s="19" t="s">
        <v>191</v>
      </c>
      <c r="C32" s="19" t="s">
        <v>34</v>
      </c>
      <c r="D32" s="18" t="s">
        <v>193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>
        <f t="shared" si="3"/>
        <v>0</v>
      </c>
    </row>
    <row r="33" spans="1:15" s="30" customFormat="1" ht="47.25" hidden="1">
      <c r="A33" s="25" t="s">
        <v>137</v>
      </c>
      <c r="B33" s="25"/>
      <c r="C33" s="25"/>
      <c r="D33" s="26" t="s">
        <v>251</v>
      </c>
      <c r="E33" s="41">
        <f>E34</f>
        <v>0</v>
      </c>
      <c r="F33" s="41">
        <f t="shared" ref="F33:N33" si="4">F34</f>
        <v>0</v>
      </c>
      <c r="G33" s="41">
        <f t="shared" si="4"/>
        <v>0</v>
      </c>
      <c r="H33" s="41">
        <f t="shared" si="4"/>
        <v>0</v>
      </c>
      <c r="I33" s="41">
        <f t="shared" si="4"/>
        <v>0</v>
      </c>
      <c r="J33" s="41"/>
      <c r="K33" s="41"/>
      <c r="L33" s="41">
        <f t="shared" si="4"/>
        <v>0</v>
      </c>
      <c r="M33" s="41">
        <f t="shared" si="4"/>
        <v>0</v>
      </c>
      <c r="N33" s="41">
        <f t="shared" si="4"/>
        <v>0</v>
      </c>
      <c r="O33" s="41">
        <f t="shared" si="3"/>
        <v>0</v>
      </c>
    </row>
    <row r="34" spans="1:15" s="29" customFormat="1" ht="47.25" hidden="1">
      <c r="A34" s="25" t="s">
        <v>138</v>
      </c>
      <c r="B34" s="19"/>
      <c r="C34" s="19"/>
      <c r="D34" s="26" t="s">
        <v>251</v>
      </c>
      <c r="E34" s="41">
        <f>E35+E36</f>
        <v>0</v>
      </c>
      <c r="F34" s="41">
        <f>F35+F36</f>
        <v>0</v>
      </c>
      <c r="G34" s="41">
        <f>G35+G36</f>
        <v>0</v>
      </c>
      <c r="H34" s="41">
        <f>I34+L34</f>
        <v>0</v>
      </c>
      <c r="I34" s="41">
        <f>I35+I36</f>
        <v>0</v>
      </c>
      <c r="J34" s="41"/>
      <c r="K34" s="41"/>
      <c r="L34" s="41">
        <f>L35+L36</f>
        <v>0</v>
      </c>
      <c r="M34" s="41">
        <f>M35+M36</f>
        <v>0</v>
      </c>
      <c r="N34" s="41">
        <f>N35+N36</f>
        <v>0</v>
      </c>
      <c r="O34" s="41">
        <f t="shared" si="3"/>
        <v>0</v>
      </c>
    </row>
    <row r="35" spans="1:15" s="29" customFormat="1" ht="78.75" hidden="1">
      <c r="A35" s="19" t="s">
        <v>139</v>
      </c>
      <c r="B35" s="19" t="s">
        <v>117</v>
      </c>
      <c r="C35" s="19" t="s">
        <v>32</v>
      </c>
      <c r="D35" s="18" t="s">
        <v>118</v>
      </c>
      <c r="E35" s="24"/>
      <c r="F35" s="24"/>
      <c r="G35" s="24"/>
      <c r="H35" s="24">
        <f>I35+L35</f>
        <v>0</v>
      </c>
      <c r="I35" s="24"/>
      <c r="J35" s="24"/>
      <c r="K35" s="24"/>
      <c r="L35" s="24"/>
      <c r="M35" s="24"/>
      <c r="N35" s="24"/>
      <c r="O35" s="24">
        <f t="shared" si="3"/>
        <v>0</v>
      </c>
    </row>
    <row r="36" spans="1:15" s="29" customFormat="1" ht="15.75" hidden="1">
      <c r="A36" s="19" t="s">
        <v>142</v>
      </c>
      <c r="B36" s="19" t="s">
        <v>99</v>
      </c>
      <c r="C36" s="19" t="s">
        <v>40</v>
      </c>
      <c r="D36" s="18" t="s">
        <v>121</v>
      </c>
      <c r="E36" s="24"/>
      <c r="F36" s="24"/>
      <c r="G36" s="24"/>
      <c r="H36" s="24">
        <f>I36+L36</f>
        <v>0</v>
      </c>
      <c r="I36" s="24"/>
      <c r="J36" s="24"/>
      <c r="K36" s="24"/>
      <c r="L36" s="24"/>
      <c r="M36" s="24"/>
      <c r="N36" s="24"/>
      <c r="O36" s="24">
        <f t="shared" si="3"/>
        <v>0</v>
      </c>
    </row>
    <row r="37" spans="1:15" s="30" customFormat="1" ht="47.25">
      <c r="A37" s="25" t="s">
        <v>137</v>
      </c>
      <c r="B37" s="25"/>
      <c r="C37" s="25"/>
      <c r="D37" s="26" t="s">
        <v>17</v>
      </c>
      <c r="E37" s="41">
        <f>E38</f>
        <v>0</v>
      </c>
      <c r="F37" s="41">
        <f>F38</f>
        <v>0</v>
      </c>
      <c r="G37" s="41">
        <f>G38</f>
        <v>0</v>
      </c>
      <c r="H37" s="41">
        <f t="shared" ref="H37:N37" si="5">H38</f>
        <v>17</v>
      </c>
      <c r="I37" s="41">
        <f t="shared" si="5"/>
        <v>0</v>
      </c>
      <c r="J37" s="41">
        <f t="shared" si="5"/>
        <v>0</v>
      </c>
      <c r="K37" s="41">
        <f t="shared" si="5"/>
        <v>0</v>
      </c>
      <c r="L37" s="41">
        <f t="shared" si="5"/>
        <v>17</v>
      </c>
      <c r="M37" s="41">
        <f t="shared" si="5"/>
        <v>17</v>
      </c>
      <c r="N37" s="41">
        <f t="shared" si="5"/>
        <v>17</v>
      </c>
      <c r="O37" s="41">
        <f t="shared" si="3"/>
        <v>17</v>
      </c>
    </row>
    <row r="38" spans="1:15" s="30" customFormat="1" ht="47.25">
      <c r="A38" s="25" t="s">
        <v>138</v>
      </c>
      <c r="B38" s="25"/>
      <c r="C38" s="25"/>
      <c r="D38" s="26" t="s">
        <v>17</v>
      </c>
      <c r="E38" s="41">
        <f>E39+E40</f>
        <v>0</v>
      </c>
      <c r="F38" s="41">
        <f>F39+F40</f>
        <v>0</v>
      </c>
      <c r="G38" s="41">
        <f>G39+G40</f>
        <v>0</v>
      </c>
      <c r="H38" s="41">
        <f t="shared" ref="H38:N38" si="6">H39+H40</f>
        <v>17</v>
      </c>
      <c r="I38" s="41">
        <f t="shared" si="6"/>
        <v>0</v>
      </c>
      <c r="J38" s="41">
        <f t="shared" si="6"/>
        <v>0</v>
      </c>
      <c r="K38" s="41">
        <f t="shared" si="6"/>
        <v>0</v>
      </c>
      <c r="L38" s="41">
        <f t="shared" si="6"/>
        <v>17</v>
      </c>
      <c r="M38" s="41">
        <f t="shared" si="6"/>
        <v>17</v>
      </c>
      <c r="N38" s="41">
        <f t="shared" si="6"/>
        <v>17</v>
      </c>
      <c r="O38" s="41">
        <f t="shared" si="3"/>
        <v>17</v>
      </c>
    </row>
    <row r="39" spans="1:15" s="29" customFormat="1" ht="78.75">
      <c r="A39" s="19" t="s">
        <v>139</v>
      </c>
      <c r="B39" s="19" t="s">
        <v>117</v>
      </c>
      <c r="C39" s="19" t="s">
        <v>32</v>
      </c>
      <c r="D39" s="18" t="s">
        <v>118</v>
      </c>
      <c r="E39" s="24"/>
      <c r="F39" s="24"/>
      <c r="G39" s="24"/>
      <c r="H39" s="24">
        <f>I39+L39</f>
        <v>17</v>
      </c>
      <c r="I39" s="24"/>
      <c r="J39" s="24"/>
      <c r="K39" s="24"/>
      <c r="L39" s="24">
        <v>17</v>
      </c>
      <c r="M39" s="24">
        <v>17</v>
      </c>
      <c r="N39" s="24">
        <v>17</v>
      </c>
      <c r="O39" s="24">
        <f t="shared" si="3"/>
        <v>17</v>
      </c>
    </row>
    <row r="40" spans="1:15" s="29" customFormat="1" ht="15.75" hidden="1">
      <c r="A40" s="19" t="s">
        <v>142</v>
      </c>
      <c r="B40" s="19" t="s">
        <v>99</v>
      </c>
      <c r="C40" s="19" t="s">
        <v>40</v>
      </c>
      <c r="D40" s="18" t="s">
        <v>121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>
        <f t="shared" si="3"/>
        <v>0</v>
      </c>
    </row>
    <row r="41" spans="1:15" s="30" customFormat="1" ht="47.25" hidden="1">
      <c r="A41" s="25" t="s">
        <v>137</v>
      </c>
      <c r="B41" s="25"/>
      <c r="C41" s="25"/>
      <c r="D41" s="26" t="s">
        <v>19</v>
      </c>
      <c r="E41" s="41">
        <f t="shared" ref="E41:N41" si="7">E42</f>
        <v>0</v>
      </c>
      <c r="F41" s="41">
        <f t="shared" si="7"/>
        <v>0</v>
      </c>
      <c r="G41" s="41">
        <f t="shared" si="7"/>
        <v>0</v>
      </c>
      <c r="H41" s="41">
        <f t="shared" si="7"/>
        <v>0</v>
      </c>
      <c r="I41" s="41">
        <f t="shared" si="7"/>
        <v>0</v>
      </c>
      <c r="J41" s="41">
        <f t="shared" si="7"/>
        <v>0</v>
      </c>
      <c r="K41" s="41">
        <f t="shared" si="7"/>
        <v>0</v>
      </c>
      <c r="L41" s="41">
        <f t="shared" si="7"/>
        <v>0</v>
      </c>
      <c r="M41" s="41">
        <f t="shared" si="7"/>
        <v>0</v>
      </c>
      <c r="N41" s="41">
        <f t="shared" si="7"/>
        <v>0</v>
      </c>
      <c r="O41" s="41">
        <f t="shared" si="3"/>
        <v>0</v>
      </c>
    </row>
    <row r="42" spans="1:15" s="30" customFormat="1" ht="47.25" hidden="1">
      <c r="A42" s="25" t="s">
        <v>138</v>
      </c>
      <c r="B42" s="25"/>
      <c r="C42" s="25"/>
      <c r="D42" s="26" t="s">
        <v>19</v>
      </c>
      <c r="E42" s="41">
        <f>E43+E44</f>
        <v>0</v>
      </c>
      <c r="F42" s="41">
        <f>F43</f>
        <v>0</v>
      </c>
      <c r="G42" s="41">
        <f>G43</f>
        <v>0</v>
      </c>
      <c r="H42" s="41">
        <f>H43+H44</f>
        <v>0</v>
      </c>
      <c r="I42" s="41">
        <f t="shared" ref="I42:N42" si="8">I43+I44</f>
        <v>0</v>
      </c>
      <c r="J42" s="41">
        <f t="shared" si="8"/>
        <v>0</v>
      </c>
      <c r="K42" s="41">
        <f t="shared" si="8"/>
        <v>0</v>
      </c>
      <c r="L42" s="41">
        <f t="shared" si="8"/>
        <v>0</v>
      </c>
      <c r="M42" s="41">
        <f t="shared" si="8"/>
        <v>0</v>
      </c>
      <c r="N42" s="41">
        <f t="shared" si="8"/>
        <v>0</v>
      </c>
      <c r="O42" s="41">
        <f t="shared" si="3"/>
        <v>0</v>
      </c>
    </row>
    <row r="43" spans="1:15" s="29" customFormat="1" ht="78.75" hidden="1">
      <c r="A43" s="19" t="s">
        <v>139</v>
      </c>
      <c r="B43" s="19" t="s">
        <v>117</v>
      </c>
      <c r="C43" s="19" t="s">
        <v>32</v>
      </c>
      <c r="D43" s="18" t="s">
        <v>118</v>
      </c>
      <c r="E43" s="24"/>
      <c r="F43" s="24"/>
      <c r="G43" s="24"/>
      <c r="H43" s="24">
        <f>I43+L43</f>
        <v>0</v>
      </c>
      <c r="I43" s="24"/>
      <c r="J43" s="24"/>
      <c r="K43" s="24"/>
      <c r="L43" s="24"/>
      <c r="M43" s="24"/>
      <c r="N43" s="24"/>
      <c r="O43" s="24">
        <f t="shared" si="3"/>
        <v>0</v>
      </c>
    </row>
    <row r="44" spans="1:15" s="29" customFormat="1" ht="15.75" hidden="1">
      <c r="A44" s="19" t="s">
        <v>142</v>
      </c>
      <c r="B44" s="19" t="s">
        <v>99</v>
      </c>
      <c r="C44" s="19" t="s">
        <v>40</v>
      </c>
      <c r="D44" s="18" t="s">
        <v>121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>
        <f t="shared" si="3"/>
        <v>0</v>
      </c>
    </row>
    <row r="45" spans="1:15" s="30" customFormat="1" ht="31.5">
      <c r="A45" s="25" t="s">
        <v>122</v>
      </c>
      <c r="B45" s="25"/>
      <c r="C45" s="25"/>
      <c r="D45" s="26" t="s">
        <v>14</v>
      </c>
      <c r="E45" s="41">
        <f>E46</f>
        <v>898.72</v>
      </c>
      <c r="F45" s="41">
        <f t="shared" ref="F45:N45" si="9">F46</f>
        <v>0</v>
      </c>
      <c r="G45" s="41">
        <f t="shared" si="9"/>
        <v>0</v>
      </c>
      <c r="H45" s="41">
        <f t="shared" si="9"/>
        <v>4082.0665199999999</v>
      </c>
      <c r="I45" s="41">
        <f t="shared" si="9"/>
        <v>0</v>
      </c>
      <c r="J45" s="41">
        <f t="shared" si="9"/>
        <v>0</v>
      </c>
      <c r="K45" s="41">
        <f t="shared" si="9"/>
        <v>0</v>
      </c>
      <c r="L45" s="41">
        <f t="shared" si="9"/>
        <v>4082.0665199999999</v>
      </c>
      <c r="M45" s="41">
        <f t="shared" si="9"/>
        <v>4082.0665199999999</v>
      </c>
      <c r="N45" s="41">
        <f t="shared" si="9"/>
        <v>4082.0665199999999</v>
      </c>
      <c r="O45" s="41">
        <f t="shared" si="3"/>
        <v>4980.7865199999997</v>
      </c>
    </row>
    <row r="46" spans="1:15" s="29" customFormat="1" ht="29.25" customHeight="1">
      <c r="A46" s="25" t="s">
        <v>123</v>
      </c>
      <c r="B46" s="19"/>
      <c r="C46" s="19"/>
      <c r="D46" s="26" t="s">
        <v>14</v>
      </c>
      <c r="E46" s="41">
        <f>E47+E48+E49+E52+E54+E57+E58+E59+E60+E61+E62+E63+E64</f>
        <v>898.72</v>
      </c>
      <c r="F46" s="41">
        <f>F47+F48+F49+F52+F54+F57+F58+F59+F60+F61+F62+F63+F64</f>
        <v>0</v>
      </c>
      <c r="G46" s="41">
        <f>G47+G48+G49+G52+G54+G57+G58+G59+G60+G61+G62+G63+G64</f>
        <v>0</v>
      </c>
      <c r="H46" s="41">
        <f>I46+L46</f>
        <v>4082.0665199999999</v>
      </c>
      <c r="I46" s="41">
        <f>I47+I48+I49+I52+I54+I57+I58+I59+I60+I61+I62+I63+I64</f>
        <v>0</v>
      </c>
      <c r="J46" s="41">
        <f>J47+J48+J49+J52+J54+J57+J58+J59+J60+J61+J62+J63+J64</f>
        <v>0</v>
      </c>
      <c r="K46" s="41">
        <f>K47+K48+K49+K52+K54+K57+K58+K59+K60+K61+K62+K63+K64</f>
        <v>0</v>
      </c>
      <c r="L46" s="41">
        <f>L47+L48+L49+L52+L54+L57+L58+L59+L60+L61+L62+L63+L64+L65</f>
        <v>4082.0665199999999</v>
      </c>
      <c r="M46" s="41">
        <f>M47+M48+M49+M52+M54+M57+M58+M59+M60+M61+M62+M63+M64+M65</f>
        <v>4082.0665199999999</v>
      </c>
      <c r="N46" s="41">
        <f>N47+N48+N49+N52+N54+N57+N58+N59+N60+N61+N62+N63+N64+N65</f>
        <v>4082.0665199999999</v>
      </c>
      <c r="O46" s="41">
        <f t="shared" si="3"/>
        <v>4980.7865199999997</v>
      </c>
    </row>
    <row r="47" spans="1:15" s="29" customFormat="1" ht="47.25" hidden="1">
      <c r="A47" s="19" t="s">
        <v>125</v>
      </c>
      <c r="B47" s="19" t="s">
        <v>124</v>
      </c>
      <c r="C47" s="19" t="s">
        <v>32</v>
      </c>
      <c r="D47" s="27" t="s">
        <v>126</v>
      </c>
      <c r="E47" s="24"/>
      <c r="F47" s="24"/>
      <c r="G47" s="24"/>
      <c r="H47" s="24">
        <f t="shared" ref="H47:H65" si="10">I47+L47</f>
        <v>0</v>
      </c>
      <c r="I47" s="24"/>
      <c r="J47" s="24"/>
      <c r="K47" s="24"/>
      <c r="L47" s="24"/>
      <c r="M47" s="24"/>
      <c r="N47" s="24"/>
      <c r="O47" s="24">
        <f t="shared" si="3"/>
        <v>0</v>
      </c>
    </row>
    <row r="48" spans="1:15" s="29" customFormat="1" ht="15.75">
      <c r="A48" s="19" t="s">
        <v>127</v>
      </c>
      <c r="B48" s="19" t="s">
        <v>42</v>
      </c>
      <c r="C48" s="19" t="s">
        <v>43</v>
      </c>
      <c r="D48" s="12" t="s">
        <v>128</v>
      </c>
      <c r="E48" s="77">
        <v>238.72</v>
      </c>
      <c r="F48" s="77"/>
      <c r="G48" s="77"/>
      <c r="H48" s="24">
        <f t="shared" si="10"/>
        <v>960</v>
      </c>
      <c r="I48" s="77"/>
      <c r="J48" s="77"/>
      <c r="K48" s="77"/>
      <c r="L48" s="77">
        <v>960</v>
      </c>
      <c r="M48" s="77">
        <v>960</v>
      </c>
      <c r="N48" s="77">
        <v>960</v>
      </c>
      <c r="O48" s="24">
        <f t="shared" si="3"/>
        <v>1198.72</v>
      </c>
    </row>
    <row r="49" spans="1:15" s="29" customFormat="1" ht="78.75">
      <c r="A49" s="19" t="s">
        <v>129</v>
      </c>
      <c r="B49" s="19" t="s">
        <v>44</v>
      </c>
      <c r="C49" s="19" t="s">
        <v>45</v>
      </c>
      <c r="D49" s="27" t="s">
        <v>46</v>
      </c>
      <c r="E49" s="77">
        <f>60+300</f>
        <v>360</v>
      </c>
      <c r="F49" s="77"/>
      <c r="G49" s="77"/>
      <c r="H49" s="24">
        <f t="shared" si="10"/>
        <v>1300</v>
      </c>
      <c r="I49" s="77"/>
      <c r="J49" s="77"/>
      <c r="K49" s="77"/>
      <c r="L49" s="77">
        <v>1300</v>
      </c>
      <c r="M49" s="77">
        <v>1300</v>
      </c>
      <c r="N49" s="77">
        <v>1300</v>
      </c>
      <c r="O49" s="24">
        <f t="shared" si="3"/>
        <v>1660</v>
      </c>
    </row>
    <row r="50" spans="1:15" s="37" customFormat="1" ht="78.75">
      <c r="A50" s="35"/>
      <c r="B50" s="35"/>
      <c r="C50" s="35"/>
      <c r="D50" s="79" t="s">
        <v>370</v>
      </c>
      <c r="E50" s="80">
        <v>300</v>
      </c>
      <c r="F50" s="80"/>
      <c r="G50" s="80"/>
      <c r="H50" s="76">
        <f>I50+L50</f>
        <v>700</v>
      </c>
      <c r="I50" s="80"/>
      <c r="J50" s="80"/>
      <c r="K50" s="80"/>
      <c r="L50" s="80">
        <v>700</v>
      </c>
      <c r="M50" s="80">
        <v>700</v>
      </c>
      <c r="N50" s="80">
        <v>700</v>
      </c>
      <c r="O50" s="76">
        <f>E50+H50</f>
        <v>1000</v>
      </c>
    </row>
    <row r="51" spans="1:15" s="29" customFormat="1" ht="63" hidden="1">
      <c r="A51" s="19"/>
      <c r="B51" s="19"/>
      <c r="C51" s="19"/>
      <c r="D51" s="12" t="s">
        <v>26</v>
      </c>
      <c r="E51" s="77"/>
      <c r="F51" s="77"/>
      <c r="G51" s="77"/>
      <c r="H51" s="24">
        <f t="shared" si="10"/>
        <v>0</v>
      </c>
      <c r="I51" s="77"/>
      <c r="J51" s="77"/>
      <c r="K51" s="77"/>
      <c r="L51" s="77"/>
      <c r="M51" s="77"/>
      <c r="N51" s="77"/>
      <c r="O51" s="24">
        <f t="shared" si="3"/>
        <v>0</v>
      </c>
    </row>
    <row r="52" spans="1:15" s="29" customFormat="1" ht="31.5" hidden="1">
      <c r="A52" s="19" t="s">
        <v>130</v>
      </c>
      <c r="B52" s="19" t="s">
        <v>47</v>
      </c>
      <c r="C52" s="19" t="s">
        <v>45</v>
      </c>
      <c r="D52" s="27" t="s">
        <v>48</v>
      </c>
      <c r="E52" s="77"/>
      <c r="F52" s="77"/>
      <c r="G52" s="77"/>
      <c r="H52" s="24">
        <f t="shared" si="10"/>
        <v>0</v>
      </c>
      <c r="I52" s="77"/>
      <c r="J52" s="77"/>
      <c r="K52" s="77"/>
      <c r="L52" s="77"/>
      <c r="M52" s="77"/>
      <c r="N52" s="77"/>
      <c r="O52" s="24">
        <f t="shared" si="3"/>
        <v>0</v>
      </c>
    </row>
    <row r="53" spans="1:15" s="29" customFormat="1" ht="63" hidden="1">
      <c r="A53" s="19"/>
      <c r="B53" s="19"/>
      <c r="C53" s="19"/>
      <c r="D53" s="12" t="s">
        <v>26</v>
      </c>
      <c r="E53" s="77"/>
      <c r="F53" s="77"/>
      <c r="G53" s="77"/>
      <c r="H53" s="24">
        <f t="shared" si="10"/>
        <v>0</v>
      </c>
      <c r="I53" s="77"/>
      <c r="J53" s="77"/>
      <c r="K53" s="77"/>
      <c r="L53" s="77"/>
      <c r="M53" s="77"/>
      <c r="N53" s="77"/>
      <c r="O53" s="24">
        <f t="shared" si="3"/>
        <v>0</v>
      </c>
    </row>
    <row r="54" spans="1:15" s="29" customFormat="1" ht="94.5">
      <c r="A54" s="19" t="s">
        <v>131</v>
      </c>
      <c r="B54" s="19" t="s">
        <v>76</v>
      </c>
      <c r="C54" s="19" t="s">
        <v>49</v>
      </c>
      <c r="D54" s="27" t="s">
        <v>107</v>
      </c>
      <c r="E54" s="77">
        <v>80</v>
      </c>
      <c r="F54" s="77"/>
      <c r="G54" s="77"/>
      <c r="H54" s="24">
        <f t="shared" si="10"/>
        <v>322.06652000000003</v>
      </c>
      <c r="I54" s="77"/>
      <c r="J54" s="77"/>
      <c r="K54" s="77"/>
      <c r="L54" s="77">
        <v>322.06652000000003</v>
      </c>
      <c r="M54" s="77">
        <v>322.06652000000003</v>
      </c>
      <c r="N54" s="77">
        <v>322.06652000000003</v>
      </c>
      <c r="O54" s="24">
        <f t="shared" si="3"/>
        <v>402.06652000000003</v>
      </c>
    </row>
    <row r="55" spans="1:15" s="37" customFormat="1" ht="78.75">
      <c r="A55" s="35"/>
      <c r="B55" s="35"/>
      <c r="C55" s="35"/>
      <c r="D55" s="79" t="s">
        <v>370</v>
      </c>
      <c r="E55" s="80"/>
      <c r="F55" s="80"/>
      <c r="G55" s="80"/>
      <c r="H55" s="76">
        <f>I55+L55</f>
        <v>282.06652000000003</v>
      </c>
      <c r="I55" s="80"/>
      <c r="J55" s="80"/>
      <c r="K55" s="80"/>
      <c r="L55" s="80">
        <v>282.06652000000003</v>
      </c>
      <c r="M55" s="80">
        <v>282.06652000000003</v>
      </c>
      <c r="N55" s="80">
        <v>282.06652000000003</v>
      </c>
      <c r="O55" s="76">
        <f t="shared" si="3"/>
        <v>282.06652000000003</v>
      </c>
    </row>
    <row r="56" spans="1:15" s="29" customFormat="1" ht="63" hidden="1">
      <c r="A56" s="19"/>
      <c r="B56" s="19"/>
      <c r="C56" s="19"/>
      <c r="D56" s="12" t="s">
        <v>26</v>
      </c>
      <c r="E56" s="77"/>
      <c r="F56" s="77"/>
      <c r="G56" s="77"/>
      <c r="H56" s="24">
        <f t="shared" si="10"/>
        <v>0</v>
      </c>
      <c r="I56" s="77"/>
      <c r="J56" s="77"/>
      <c r="K56" s="77"/>
      <c r="L56" s="77"/>
      <c r="M56" s="77"/>
      <c r="N56" s="77"/>
      <c r="O56" s="24">
        <f t="shared" si="3"/>
        <v>0</v>
      </c>
    </row>
    <row r="57" spans="1:15" s="29" customFormat="1" ht="47.25">
      <c r="A57" s="19" t="s">
        <v>132</v>
      </c>
      <c r="B57" s="19" t="s">
        <v>33</v>
      </c>
      <c r="C57" s="19" t="s">
        <v>50</v>
      </c>
      <c r="D57" s="27" t="s">
        <v>51</v>
      </c>
      <c r="E57" s="77">
        <v>140</v>
      </c>
      <c r="F57" s="77"/>
      <c r="G57" s="77"/>
      <c r="H57" s="24">
        <f t="shared" si="10"/>
        <v>0</v>
      </c>
      <c r="I57" s="77"/>
      <c r="J57" s="77"/>
      <c r="K57" s="77"/>
      <c r="L57" s="77"/>
      <c r="M57" s="77"/>
      <c r="N57" s="77"/>
      <c r="O57" s="24">
        <f t="shared" si="3"/>
        <v>140</v>
      </c>
    </row>
    <row r="58" spans="1:15" s="29" customFormat="1" ht="31.5" hidden="1">
      <c r="A58" s="19" t="s">
        <v>135</v>
      </c>
      <c r="B58" s="19" t="s">
        <v>133</v>
      </c>
      <c r="C58" s="19" t="s">
        <v>52</v>
      </c>
      <c r="D58" s="12" t="s">
        <v>134</v>
      </c>
      <c r="E58" s="77"/>
      <c r="F58" s="77"/>
      <c r="G58" s="77"/>
      <c r="H58" s="24">
        <f t="shared" si="10"/>
        <v>0</v>
      </c>
      <c r="I58" s="77"/>
      <c r="J58" s="77"/>
      <c r="K58" s="77"/>
      <c r="L58" s="77"/>
      <c r="M58" s="77"/>
      <c r="N58" s="77"/>
      <c r="O58" s="24">
        <f t="shared" si="3"/>
        <v>0</v>
      </c>
    </row>
    <row r="59" spans="1:15" s="29" customFormat="1" ht="31.5" hidden="1">
      <c r="A59" s="19" t="s">
        <v>151</v>
      </c>
      <c r="B59" s="19" t="s">
        <v>150</v>
      </c>
      <c r="C59" s="19" t="s">
        <v>53</v>
      </c>
      <c r="D59" s="27" t="s">
        <v>152</v>
      </c>
      <c r="E59" s="77"/>
      <c r="F59" s="77"/>
      <c r="G59" s="77"/>
      <c r="H59" s="24">
        <f t="shared" si="10"/>
        <v>0</v>
      </c>
      <c r="I59" s="77"/>
      <c r="J59" s="77"/>
      <c r="K59" s="77"/>
      <c r="L59" s="77"/>
      <c r="M59" s="77"/>
      <c r="N59" s="77"/>
      <c r="O59" s="24">
        <f t="shared" si="3"/>
        <v>0</v>
      </c>
    </row>
    <row r="60" spans="1:15" s="29" customFormat="1" ht="30" customHeight="1">
      <c r="A60" s="19" t="s">
        <v>285</v>
      </c>
      <c r="B60" s="19" t="s">
        <v>284</v>
      </c>
      <c r="C60" s="19" t="s">
        <v>53</v>
      </c>
      <c r="D60" s="27" t="s">
        <v>324</v>
      </c>
      <c r="E60" s="77">
        <v>20</v>
      </c>
      <c r="F60" s="77"/>
      <c r="G60" s="77"/>
      <c r="H60" s="24">
        <f t="shared" si="10"/>
        <v>0</v>
      </c>
      <c r="I60" s="77"/>
      <c r="J60" s="77"/>
      <c r="K60" s="77"/>
      <c r="L60" s="77"/>
      <c r="M60" s="77"/>
      <c r="N60" s="77"/>
      <c r="O60" s="24">
        <f t="shared" si="3"/>
        <v>20</v>
      </c>
    </row>
    <row r="61" spans="1:15" s="29" customFormat="1" ht="15.75" hidden="1">
      <c r="A61" s="19" t="s">
        <v>325</v>
      </c>
      <c r="B61" s="19" t="s">
        <v>326</v>
      </c>
      <c r="C61" s="19" t="s">
        <v>53</v>
      </c>
      <c r="D61" s="27" t="s">
        <v>327</v>
      </c>
      <c r="E61" s="77"/>
      <c r="F61" s="77"/>
      <c r="G61" s="77"/>
      <c r="H61" s="24"/>
      <c r="I61" s="77"/>
      <c r="J61" s="77"/>
      <c r="K61" s="77"/>
      <c r="L61" s="77"/>
      <c r="M61" s="77"/>
      <c r="N61" s="77"/>
      <c r="O61" s="24"/>
    </row>
    <row r="62" spans="1:15" s="29" customFormat="1" ht="78.75" hidden="1">
      <c r="A62" s="19" t="s">
        <v>136</v>
      </c>
      <c r="B62" s="19" t="s">
        <v>61</v>
      </c>
      <c r="C62" s="19" t="s">
        <v>54</v>
      </c>
      <c r="D62" s="12" t="s">
        <v>55</v>
      </c>
      <c r="E62" s="24"/>
      <c r="F62" s="24"/>
      <c r="G62" s="24"/>
      <c r="H62" s="24">
        <f t="shared" si="10"/>
        <v>0</v>
      </c>
      <c r="I62" s="24"/>
      <c r="J62" s="24"/>
      <c r="K62" s="24"/>
      <c r="L62" s="24"/>
      <c r="M62" s="24"/>
      <c r="N62" s="24"/>
      <c r="O62" s="24">
        <f t="shared" si="3"/>
        <v>0</v>
      </c>
    </row>
    <row r="63" spans="1:15" s="29" customFormat="1" ht="31.5" hidden="1">
      <c r="A63" s="19" t="s">
        <v>321</v>
      </c>
      <c r="B63" s="19" t="s">
        <v>318</v>
      </c>
      <c r="C63" s="19" t="s">
        <v>33</v>
      </c>
      <c r="D63" s="27" t="s">
        <v>319</v>
      </c>
      <c r="E63" s="24"/>
      <c r="F63" s="24"/>
      <c r="G63" s="24"/>
      <c r="H63" s="24">
        <f t="shared" si="10"/>
        <v>0</v>
      </c>
      <c r="I63" s="24"/>
      <c r="J63" s="24"/>
      <c r="K63" s="24"/>
      <c r="L63" s="24"/>
      <c r="M63" s="24"/>
      <c r="N63" s="24"/>
      <c r="O63" s="24">
        <f t="shared" si="3"/>
        <v>0</v>
      </c>
    </row>
    <row r="64" spans="1:15" s="29" customFormat="1" ht="47.25">
      <c r="A64" s="19" t="s">
        <v>143</v>
      </c>
      <c r="B64" s="19" t="s">
        <v>110</v>
      </c>
      <c r="C64" s="19" t="s">
        <v>56</v>
      </c>
      <c r="D64" s="12" t="s">
        <v>57</v>
      </c>
      <c r="E64" s="77">
        <v>60</v>
      </c>
      <c r="F64" s="77"/>
      <c r="G64" s="77"/>
      <c r="H64" s="24">
        <f t="shared" si="10"/>
        <v>0</v>
      </c>
      <c r="I64" s="77"/>
      <c r="J64" s="77"/>
      <c r="K64" s="77"/>
      <c r="L64" s="77"/>
      <c r="M64" s="77"/>
      <c r="N64" s="77"/>
      <c r="O64" s="24">
        <f t="shared" si="3"/>
        <v>60</v>
      </c>
    </row>
    <row r="65" spans="1:15" s="29" customFormat="1" ht="31.5">
      <c r="A65" s="19" t="s">
        <v>379</v>
      </c>
      <c r="B65" s="19" t="s">
        <v>291</v>
      </c>
      <c r="C65" s="19" t="s">
        <v>58</v>
      </c>
      <c r="D65" s="18" t="s">
        <v>258</v>
      </c>
      <c r="E65" s="77"/>
      <c r="F65" s="77"/>
      <c r="G65" s="77"/>
      <c r="H65" s="24">
        <f t="shared" si="10"/>
        <v>1500</v>
      </c>
      <c r="I65" s="77"/>
      <c r="J65" s="77"/>
      <c r="K65" s="77"/>
      <c r="L65" s="77">
        <v>1500</v>
      </c>
      <c r="M65" s="77">
        <v>1500</v>
      </c>
      <c r="N65" s="77">
        <v>1500</v>
      </c>
      <c r="O65" s="24">
        <f t="shared" si="3"/>
        <v>1500</v>
      </c>
    </row>
    <row r="66" spans="1:15" s="30" customFormat="1" ht="46.5" customHeight="1">
      <c r="A66" s="25" t="s">
        <v>144</v>
      </c>
      <c r="B66" s="25"/>
      <c r="C66" s="25"/>
      <c r="D66" s="26" t="s">
        <v>20</v>
      </c>
      <c r="E66" s="41">
        <f>E67</f>
        <v>5280.52</v>
      </c>
      <c r="F66" s="41">
        <f t="shared" ref="F66:N66" si="11">F67</f>
        <v>0</v>
      </c>
      <c r="G66" s="41">
        <f t="shared" si="11"/>
        <v>0</v>
      </c>
      <c r="H66" s="41">
        <f t="shared" si="11"/>
        <v>0</v>
      </c>
      <c r="I66" s="41">
        <f t="shared" si="11"/>
        <v>0</v>
      </c>
      <c r="J66" s="41">
        <f t="shared" si="11"/>
        <v>0</v>
      </c>
      <c r="K66" s="41">
        <f t="shared" si="11"/>
        <v>0</v>
      </c>
      <c r="L66" s="41">
        <f t="shared" si="11"/>
        <v>0</v>
      </c>
      <c r="M66" s="41">
        <f t="shared" si="11"/>
        <v>0</v>
      </c>
      <c r="N66" s="41">
        <f t="shared" si="11"/>
        <v>0</v>
      </c>
      <c r="O66" s="41">
        <f t="shared" si="3"/>
        <v>5280.52</v>
      </c>
    </row>
    <row r="67" spans="1:15" s="29" customFormat="1" ht="31.5" customHeight="1">
      <c r="A67" s="25" t="s">
        <v>145</v>
      </c>
      <c r="B67" s="19"/>
      <c r="C67" s="19"/>
      <c r="D67" s="26" t="s">
        <v>20</v>
      </c>
      <c r="E67" s="41">
        <f>E68+E85+E88+E89+E90+E86+E91+E69+E70+E71+E72+E73+E74+E75+E76+E77+E78+E79+E80+E81+E82+E84+E87+E83</f>
        <v>5280.52</v>
      </c>
      <c r="F67" s="41">
        <f>F68+F88+F89+F90+F86+F91+F69+F70+F71+F72+F73+F74+F75+F76+F77+F78+F79+F80+F81+F82+F84+F87</f>
        <v>0</v>
      </c>
      <c r="G67" s="41">
        <f>G68+G88+G89+G90+G86+G91+G69+G70+G71+G72+G73+G74+G75+G76+G77+G78+G79+G80+G81+G82+G84+G87</f>
        <v>0</v>
      </c>
      <c r="H67" s="41">
        <f>I67+L67</f>
        <v>0</v>
      </c>
      <c r="I67" s="41">
        <f t="shared" ref="I67:N67" si="12">I68+I88+I89+I90+I86+I91+I69+I70+I71+I72+I73+I74+I75+I76+I77+I78+I79+I80+I81+I82+I84+I87</f>
        <v>0</v>
      </c>
      <c r="J67" s="41">
        <f t="shared" si="12"/>
        <v>0</v>
      </c>
      <c r="K67" s="41">
        <f t="shared" si="12"/>
        <v>0</v>
      </c>
      <c r="L67" s="41">
        <f t="shared" si="12"/>
        <v>0</v>
      </c>
      <c r="M67" s="41">
        <f t="shared" si="12"/>
        <v>0</v>
      </c>
      <c r="N67" s="41">
        <f t="shared" si="12"/>
        <v>0</v>
      </c>
      <c r="O67" s="41">
        <f>E67+H67</f>
        <v>5280.52</v>
      </c>
    </row>
    <row r="68" spans="1:15" s="29" customFormat="1" ht="51" customHeight="1">
      <c r="A68" s="19" t="s">
        <v>146</v>
      </c>
      <c r="B68" s="19" t="s">
        <v>124</v>
      </c>
      <c r="C68" s="19" t="s">
        <v>32</v>
      </c>
      <c r="D68" s="18" t="s">
        <v>126</v>
      </c>
      <c r="E68" s="24">
        <f>198.72-23</f>
        <v>175.72</v>
      </c>
      <c r="F68" s="24"/>
      <c r="G68" s="24"/>
      <c r="H68" s="24">
        <f>I68+L68</f>
        <v>0</v>
      </c>
      <c r="I68" s="24"/>
      <c r="J68" s="24"/>
      <c r="K68" s="24"/>
      <c r="L68" s="24"/>
      <c r="M68" s="24"/>
      <c r="N68" s="24"/>
      <c r="O68" s="24">
        <f t="shared" si="3"/>
        <v>175.72</v>
      </c>
    </row>
    <row r="69" spans="1:15" s="15" customFormat="1" ht="47.25" hidden="1">
      <c r="A69" s="19" t="s">
        <v>220</v>
      </c>
      <c r="B69" s="19" t="s">
        <v>72</v>
      </c>
      <c r="C69" s="19" t="s">
        <v>47</v>
      </c>
      <c r="D69" s="12" t="s">
        <v>219</v>
      </c>
      <c r="E69" s="24"/>
      <c r="F69" s="24"/>
      <c r="G69" s="24"/>
      <c r="H69" s="41"/>
      <c r="I69" s="24"/>
      <c r="J69" s="24"/>
      <c r="K69" s="24"/>
      <c r="L69" s="24"/>
      <c r="M69" s="24"/>
      <c r="N69" s="24"/>
      <c r="O69" s="24">
        <f t="shared" si="3"/>
        <v>0</v>
      </c>
    </row>
    <row r="70" spans="1:15" s="15" customFormat="1" ht="47.25" hidden="1">
      <c r="A70" s="19" t="s">
        <v>221</v>
      </c>
      <c r="B70" s="19" t="s">
        <v>75</v>
      </c>
      <c r="C70" s="19" t="s">
        <v>47</v>
      </c>
      <c r="D70" s="12" t="s">
        <v>91</v>
      </c>
      <c r="E70" s="24"/>
      <c r="F70" s="24"/>
      <c r="G70" s="24"/>
      <c r="H70" s="41"/>
      <c r="I70" s="24"/>
      <c r="J70" s="24"/>
      <c r="K70" s="24"/>
      <c r="L70" s="24"/>
      <c r="M70" s="24"/>
      <c r="N70" s="24"/>
      <c r="O70" s="24">
        <f t="shared" si="3"/>
        <v>0</v>
      </c>
    </row>
    <row r="71" spans="1:15" s="15" customFormat="1" ht="63" hidden="1">
      <c r="A71" s="19" t="s">
        <v>223</v>
      </c>
      <c r="B71" s="19" t="s">
        <v>73</v>
      </c>
      <c r="C71" s="19" t="s">
        <v>47</v>
      </c>
      <c r="D71" s="12" t="s">
        <v>222</v>
      </c>
      <c r="E71" s="24"/>
      <c r="F71" s="24"/>
      <c r="G71" s="24"/>
      <c r="H71" s="41"/>
      <c r="I71" s="24"/>
      <c r="J71" s="24"/>
      <c r="K71" s="24"/>
      <c r="L71" s="24"/>
      <c r="M71" s="24"/>
      <c r="N71" s="24"/>
      <c r="O71" s="24">
        <f t="shared" si="3"/>
        <v>0</v>
      </c>
    </row>
    <row r="72" spans="1:15" s="15" customFormat="1" ht="63" hidden="1">
      <c r="A72" s="19" t="s">
        <v>225</v>
      </c>
      <c r="B72" s="19" t="s">
        <v>224</v>
      </c>
      <c r="C72" s="19" t="s">
        <v>68</v>
      </c>
      <c r="D72" s="12" t="s">
        <v>92</v>
      </c>
      <c r="E72" s="24"/>
      <c r="F72" s="24"/>
      <c r="G72" s="24"/>
      <c r="H72" s="41"/>
      <c r="I72" s="24"/>
      <c r="J72" s="24"/>
      <c r="K72" s="24"/>
      <c r="L72" s="24"/>
      <c r="M72" s="24"/>
      <c r="N72" s="24"/>
      <c r="O72" s="24">
        <f t="shared" si="3"/>
        <v>0</v>
      </c>
    </row>
    <row r="73" spans="1:15" s="15" customFormat="1" ht="31.5" hidden="1">
      <c r="A73" s="19" t="s">
        <v>227</v>
      </c>
      <c r="B73" s="19" t="s">
        <v>74</v>
      </c>
      <c r="C73" s="19" t="s">
        <v>47</v>
      </c>
      <c r="D73" s="12" t="s">
        <v>226</v>
      </c>
      <c r="E73" s="24"/>
      <c r="F73" s="24"/>
      <c r="G73" s="24"/>
      <c r="H73" s="41"/>
      <c r="I73" s="24"/>
      <c r="J73" s="24"/>
      <c r="K73" s="24"/>
      <c r="L73" s="24"/>
      <c r="M73" s="24"/>
      <c r="N73" s="24"/>
      <c r="O73" s="24">
        <f t="shared" si="3"/>
        <v>0</v>
      </c>
    </row>
    <row r="74" spans="1:15" s="15" customFormat="1" ht="31.5" hidden="1">
      <c r="A74" s="19" t="s">
        <v>228</v>
      </c>
      <c r="B74" s="19" t="s">
        <v>229</v>
      </c>
      <c r="C74" s="19" t="s">
        <v>76</v>
      </c>
      <c r="D74" s="12" t="s">
        <v>77</v>
      </c>
      <c r="E74" s="24"/>
      <c r="F74" s="24"/>
      <c r="G74" s="24"/>
      <c r="H74" s="41"/>
      <c r="I74" s="24"/>
      <c r="J74" s="24"/>
      <c r="K74" s="24"/>
      <c r="L74" s="24"/>
      <c r="M74" s="24"/>
      <c r="N74" s="24"/>
      <c r="O74" s="24">
        <f t="shared" si="3"/>
        <v>0</v>
      </c>
    </row>
    <row r="75" spans="1:15" ht="31.5" hidden="1">
      <c r="A75" s="19" t="s">
        <v>230</v>
      </c>
      <c r="B75" s="19" t="s">
        <v>78</v>
      </c>
      <c r="C75" s="19" t="s">
        <v>54</v>
      </c>
      <c r="D75" s="18" t="s">
        <v>79</v>
      </c>
      <c r="E75" s="24"/>
      <c r="F75" s="24"/>
      <c r="G75" s="24"/>
      <c r="H75" s="41"/>
      <c r="I75" s="24"/>
      <c r="J75" s="24"/>
      <c r="K75" s="24"/>
      <c r="L75" s="24"/>
      <c r="M75" s="24"/>
      <c r="N75" s="24"/>
      <c r="O75" s="24">
        <f t="shared" si="3"/>
        <v>0</v>
      </c>
    </row>
    <row r="76" spans="1:15" ht="15.75" hidden="1">
      <c r="A76" s="19" t="s">
        <v>231</v>
      </c>
      <c r="B76" s="19" t="s">
        <v>80</v>
      </c>
      <c r="C76" s="19" t="s">
        <v>54</v>
      </c>
      <c r="D76" s="39" t="s">
        <v>89</v>
      </c>
      <c r="E76" s="24"/>
      <c r="F76" s="24"/>
      <c r="G76" s="24"/>
      <c r="H76" s="41"/>
      <c r="I76" s="24"/>
      <c r="J76" s="24"/>
      <c r="K76" s="24"/>
      <c r="L76" s="24"/>
      <c r="M76" s="24"/>
      <c r="N76" s="24"/>
      <c r="O76" s="24">
        <f t="shared" si="3"/>
        <v>0</v>
      </c>
    </row>
    <row r="77" spans="1:15" ht="15.75" hidden="1">
      <c r="A77" s="19" t="s">
        <v>232</v>
      </c>
      <c r="B77" s="19" t="s">
        <v>81</v>
      </c>
      <c r="C77" s="19" t="s">
        <v>54</v>
      </c>
      <c r="D77" s="18" t="s">
        <v>82</v>
      </c>
      <c r="E77" s="24"/>
      <c r="F77" s="24"/>
      <c r="G77" s="24"/>
      <c r="H77" s="41"/>
      <c r="I77" s="24"/>
      <c r="J77" s="24"/>
      <c r="K77" s="24"/>
      <c r="L77" s="24"/>
      <c r="M77" s="24"/>
      <c r="N77" s="24"/>
      <c r="O77" s="24">
        <f t="shared" si="3"/>
        <v>0</v>
      </c>
    </row>
    <row r="78" spans="1:15" ht="31.5" hidden="1">
      <c r="A78" s="19" t="s">
        <v>233</v>
      </c>
      <c r="B78" s="19" t="s">
        <v>83</v>
      </c>
      <c r="C78" s="19" t="s">
        <v>54</v>
      </c>
      <c r="D78" s="18" t="s">
        <v>84</v>
      </c>
      <c r="E78" s="24"/>
      <c r="F78" s="24"/>
      <c r="G78" s="24"/>
      <c r="H78" s="41"/>
      <c r="I78" s="24"/>
      <c r="J78" s="24"/>
      <c r="K78" s="24"/>
      <c r="L78" s="24"/>
      <c r="M78" s="24"/>
      <c r="N78" s="24"/>
      <c r="O78" s="24">
        <f t="shared" si="3"/>
        <v>0</v>
      </c>
    </row>
    <row r="79" spans="1:15" ht="31.5" hidden="1">
      <c r="A79" s="19" t="s">
        <v>234</v>
      </c>
      <c r="B79" s="19" t="s">
        <v>87</v>
      </c>
      <c r="C79" s="19" t="s">
        <v>54</v>
      </c>
      <c r="D79" s="18" t="s">
        <v>86</v>
      </c>
      <c r="E79" s="24"/>
      <c r="F79" s="24"/>
      <c r="G79" s="24"/>
      <c r="H79" s="41"/>
      <c r="I79" s="24"/>
      <c r="J79" s="24"/>
      <c r="K79" s="24"/>
      <c r="L79" s="24"/>
      <c r="M79" s="24"/>
      <c r="N79" s="24"/>
      <c r="O79" s="24">
        <f t="shared" si="3"/>
        <v>0</v>
      </c>
    </row>
    <row r="80" spans="1:15" ht="31.5" hidden="1">
      <c r="A80" s="19" t="s">
        <v>235</v>
      </c>
      <c r="B80" s="19" t="s">
        <v>85</v>
      </c>
      <c r="C80" s="19" t="s">
        <v>54</v>
      </c>
      <c r="D80" s="18" t="s">
        <v>116</v>
      </c>
      <c r="E80" s="24"/>
      <c r="F80" s="24"/>
      <c r="G80" s="24"/>
      <c r="H80" s="41"/>
      <c r="I80" s="24"/>
      <c r="J80" s="24"/>
      <c r="K80" s="24"/>
      <c r="L80" s="24"/>
      <c r="M80" s="24"/>
      <c r="N80" s="24"/>
      <c r="O80" s="24">
        <f t="shared" si="3"/>
        <v>0</v>
      </c>
    </row>
    <row r="81" spans="1:15" ht="31.5" hidden="1">
      <c r="A81" s="19" t="s">
        <v>236</v>
      </c>
      <c r="B81" s="19" t="s">
        <v>88</v>
      </c>
      <c r="C81" s="19" t="s">
        <v>54</v>
      </c>
      <c r="D81" s="18" t="s">
        <v>90</v>
      </c>
      <c r="E81" s="24"/>
      <c r="F81" s="24"/>
      <c r="G81" s="24"/>
      <c r="H81" s="41"/>
      <c r="I81" s="24"/>
      <c r="J81" s="24"/>
      <c r="K81" s="24"/>
      <c r="L81" s="24"/>
      <c r="M81" s="24"/>
      <c r="N81" s="24"/>
      <c r="O81" s="24">
        <f t="shared" si="3"/>
        <v>0</v>
      </c>
    </row>
    <row r="82" spans="1:15" ht="39.75" hidden="1" customHeight="1">
      <c r="A82" s="19" t="s">
        <v>302</v>
      </c>
      <c r="B82" s="19" t="s">
        <v>304</v>
      </c>
      <c r="C82" s="19" t="s">
        <v>42</v>
      </c>
      <c r="D82" s="12" t="s">
        <v>306</v>
      </c>
      <c r="E82" s="24"/>
      <c r="F82" s="24"/>
      <c r="G82" s="24"/>
      <c r="H82" s="41"/>
      <c r="I82" s="24"/>
      <c r="J82" s="24"/>
      <c r="K82" s="24"/>
      <c r="L82" s="24"/>
      <c r="M82" s="24"/>
      <c r="N82" s="24"/>
      <c r="O82" s="24">
        <f t="shared" si="3"/>
        <v>0</v>
      </c>
    </row>
    <row r="83" spans="1:15" ht="60" hidden="1" customHeight="1">
      <c r="A83" s="19" t="s">
        <v>302</v>
      </c>
      <c r="B83" s="19" t="s">
        <v>328</v>
      </c>
      <c r="C83" s="19" t="s">
        <v>42</v>
      </c>
      <c r="D83" s="12" t="s">
        <v>329</v>
      </c>
      <c r="E83" s="24"/>
      <c r="F83" s="24"/>
      <c r="G83" s="24"/>
      <c r="H83" s="41"/>
      <c r="I83" s="24"/>
      <c r="J83" s="24"/>
      <c r="K83" s="24"/>
      <c r="L83" s="24"/>
      <c r="M83" s="24"/>
      <c r="N83" s="24"/>
      <c r="O83" s="24">
        <f t="shared" si="3"/>
        <v>0</v>
      </c>
    </row>
    <row r="84" spans="1:15" ht="45.75" hidden="1" customHeight="1">
      <c r="A84" s="19" t="s">
        <v>303</v>
      </c>
      <c r="B84" s="19" t="s">
        <v>305</v>
      </c>
      <c r="C84" s="19" t="s">
        <v>42</v>
      </c>
      <c r="D84" s="12" t="s">
        <v>307</v>
      </c>
      <c r="E84" s="24"/>
      <c r="F84" s="41"/>
      <c r="G84" s="41"/>
      <c r="H84" s="41"/>
      <c r="I84" s="41"/>
      <c r="J84" s="41"/>
      <c r="K84" s="41"/>
      <c r="L84" s="41"/>
      <c r="M84" s="41"/>
      <c r="N84" s="41"/>
      <c r="O84" s="24">
        <f t="shared" si="3"/>
        <v>0</v>
      </c>
    </row>
    <row r="85" spans="1:15" s="16" customFormat="1" ht="20.25" customHeight="1">
      <c r="A85" s="19" t="s">
        <v>387</v>
      </c>
      <c r="B85" s="19" t="s">
        <v>41</v>
      </c>
      <c r="C85" s="19" t="s">
        <v>37</v>
      </c>
      <c r="D85" s="85" t="s">
        <v>207</v>
      </c>
      <c r="E85" s="24">
        <v>23</v>
      </c>
      <c r="F85" s="41"/>
      <c r="G85" s="41"/>
      <c r="H85" s="41"/>
      <c r="I85" s="41"/>
      <c r="J85" s="41"/>
      <c r="K85" s="41"/>
      <c r="L85" s="41"/>
      <c r="M85" s="41"/>
      <c r="N85" s="41"/>
      <c r="O85" s="24">
        <f t="shared" si="3"/>
        <v>23</v>
      </c>
    </row>
    <row r="86" spans="1:15" ht="63">
      <c r="A86" s="19" t="s">
        <v>250</v>
      </c>
      <c r="B86" s="19" t="s">
        <v>249</v>
      </c>
      <c r="C86" s="19" t="s">
        <v>44</v>
      </c>
      <c r="D86" s="12" t="s">
        <v>308</v>
      </c>
      <c r="E86" s="24">
        <v>57.3</v>
      </c>
      <c r="F86" s="24"/>
      <c r="G86" s="24"/>
      <c r="H86" s="24">
        <f>I86+L86</f>
        <v>0</v>
      </c>
      <c r="I86" s="24"/>
      <c r="J86" s="24"/>
      <c r="K86" s="24"/>
      <c r="L86" s="24"/>
      <c r="M86" s="24"/>
      <c r="N86" s="24"/>
      <c r="O86" s="24">
        <f t="shared" ref="O86:O115" si="13">E86+H86</f>
        <v>57.3</v>
      </c>
    </row>
    <row r="87" spans="1:15" s="15" customFormat="1" ht="31.5" customHeight="1">
      <c r="A87" s="19" t="s">
        <v>148</v>
      </c>
      <c r="B87" s="19" t="s">
        <v>147</v>
      </c>
      <c r="C87" s="19" t="s">
        <v>54</v>
      </c>
      <c r="D87" s="12" t="s">
        <v>149</v>
      </c>
      <c r="E87" s="77">
        <v>24.5</v>
      </c>
      <c r="F87" s="77"/>
      <c r="G87" s="77"/>
      <c r="H87" s="41"/>
      <c r="I87" s="24"/>
      <c r="J87" s="24"/>
      <c r="K87" s="24"/>
      <c r="L87" s="24"/>
      <c r="M87" s="24"/>
      <c r="N87" s="24"/>
      <c r="O87" s="24">
        <f t="shared" si="13"/>
        <v>24.5</v>
      </c>
    </row>
    <row r="88" spans="1:15" ht="94.5">
      <c r="A88" s="19" t="s">
        <v>309</v>
      </c>
      <c r="B88" s="19" t="s">
        <v>310</v>
      </c>
      <c r="C88" s="19" t="s">
        <v>42</v>
      </c>
      <c r="D88" s="12" t="s">
        <v>311</v>
      </c>
      <c r="E88" s="77"/>
      <c r="F88" s="77"/>
      <c r="G88" s="77"/>
      <c r="H88" s="24"/>
      <c r="I88" s="24"/>
      <c r="J88" s="24"/>
      <c r="K88" s="24"/>
      <c r="L88" s="24"/>
      <c r="M88" s="24"/>
      <c r="N88" s="24"/>
      <c r="O88" s="91"/>
    </row>
    <row r="89" spans="1:15" ht="82.5" hidden="1" customHeight="1">
      <c r="A89" s="19" t="s">
        <v>312</v>
      </c>
      <c r="B89" s="19" t="s">
        <v>313</v>
      </c>
      <c r="C89" s="19" t="s">
        <v>68</v>
      </c>
      <c r="D89" s="12" t="s">
        <v>314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>
        <f t="shared" si="13"/>
        <v>0</v>
      </c>
    </row>
    <row r="90" spans="1:15" ht="47.25" hidden="1">
      <c r="A90" s="19" t="s">
        <v>315</v>
      </c>
      <c r="B90" s="19" t="s">
        <v>316</v>
      </c>
      <c r="C90" s="19" t="s">
        <v>47</v>
      </c>
      <c r="D90" s="12" t="s">
        <v>317</v>
      </c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>
        <f t="shared" si="13"/>
        <v>0</v>
      </c>
    </row>
    <row r="91" spans="1:15" ht="30" customHeight="1">
      <c r="A91" s="19" t="s">
        <v>322</v>
      </c>
      <c r="B91" s="19" t="s">
        <v>318</v>
      </c>
      <c r="C91" s="19" t="s">
        <v>33</v>
      </c>
      <c r="D91" s="12" t="s">
        <v>319</v>
      </c>
      <c r="E91" s="24">
        <v>5000</v>
      </c>
      <c r="F91" s="24"/>
      <c r="G91" s="24"/>
      <c r="H91" s="24"/>
      <c r="I91" s="24"/>
      <c r="J91" s="24"/>
      <c r="K91" s="24"/>
      <c r="L91" s="24"/>
      <c r="M91" s="24"/>
      <c r="N91" s="24"/>
      <c r="O91" s="24">
        <f>E91+H91</f>
        <v>5000</v>
      </c>
    </row>
    <row r="92" spans="1:15" ht="3.75" hidden="1" customHeight="1">
      <c r="A92" s="25" t="s">
        <v>153</v>
      </c>
      <c r="B92" s="19"/>
      <c r="C92" s="19"/>
      <c r="D92" s="26" t="s">
        <v>21</v>
      </c>
      <c r="E92" s="41">
        <f>E93</f>
        <v>0</v>
      </c>
      <c r="F92" s="41">
        <f>F93</f>
        <v>0</v>
      </c>
      <c r="G92" s="24"/>
      <c r="H92" s="41">
        <f>H93</f>
        <v>0</v>
      </c>
      <c r="I92" s="41">
        <f t="shared" ref="I92:N92" si="14">I93</f>
        <v>0</v>
      </c>
      <c r="J92" s="41">
        <f t="shared" si="14"/>
        <v>0</v>
      </c>
      <c r="K92" s="41">
        <f t="shared" si="14"/>
        <v>0</v>
      </c>
      <c r="L92" s="41">
        <f t="shared" si="14"/>
        <v>0</v>
      </c>
      <c r="M92" s="41">
        <f t="shared" si="14"/>
        <v>0</v>
      </c>
      <c r="N92" s="41">
        <f t="shared" si="14"/>
        <v>0</v>
      </c>
      <c r="O92" s="41">
        <f>O93</f>
        <v>0</v>
      </c>
    </row>
    <row r="93" spans="1:15" ht="31.5" hidden="1">
      <c r="A93" s="25" t="s">
        <v>154</v>
      </c>
      <c r="B93" s="19"/>
      <c r="C93" s="19"/>
      <c r="D93" s="26" t="s">
        <v>21</v>
      </c>
      <c r="E93" s="41">
        <f>E94+E95+E96</f>
        <v>0</v>
      </c>
      <c r="F93" s="41">
        <f>F94+F95+F96</f>
        <v>0</v>
      </c>
      <c r="G93" s="41"/>
      <c r="H93" s="41">
        <f>I93+L93</f>
        <v>0</v>
      </c>
      <c r="I93" s="41">
        <f t="shared" ref="I93:N93" si="15">I94+I95+I96</f>
        <v>0</v>
      </c>
      <c r="J93" s="41">
        <f t="shared" si="15"/>
        <v>0</v>
      </c>
      <c r="K93" s="41">
        <f t="shared" si="15"/>
        <v>0</v>
      </c>
      <c r="L93" s="41">
        <f t="shared" si="15"/>
        <v>0</v>
      </c>
      <c r="M93" s="41">
        <f t="shared" si="15"/>
        <v>0</v>
      </c>
      <c r="N93" s="41">
        <f t="shared" si="15"/>
        <v>0</v>
      </c>
      <c r="O93" s="41">
        <f t="shared" si="13"/>
        <v>0</v>
      </c>
    </row>
    <row r="94" spans="1:15" ht="47.25" hidden="1">
      <c r="A94" s="19" t="s">
        <v>155</v>
      </c>
      <c r="B94" s="19" t="s">
        <v>124</v>
      </c>
      <c r="C94" s="19" t="s">
        <v>32</v>
      </c>
      <c r="D94" s="18" t="s">
        <v>126</v>
      </c>
      <c r="E94" s="24"/>
      <c r="F94" s="24"/>
      <c r="G94" s="24"/>
      <c r="H94" s="24">
        <f>I94+L94</f>
        <v>0</v>
      </c>
      <c r="I94" s="24"/>
      <c r="J94" s="24"/>
      <c r="K94" s="24"/>
      <c r="L94" s="24"/>
      <c r="M94" s="24"/>
      <c r="N94" s="24"/>
      <c r="O94" s="24">
        <f t="shared" si="13"/>
        <v>0</v>
      </c>
    </row>
    <row r="95" spans="1:15" s="15" customFormat="1" ht="31.5" hidden="1">
      <c r="A95" s="19" t="s">
        <v>156</v>
      </c>
      <c r="B95" s="19" t="s">
        <v>93</v>
      </c>
      <c r="C95" s="19" t="s">
        <v>54</v>
      </c>
      <c r="D95" s="12" t="s">
        <v>103</v>
      </c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>
        <f t="shared" si="13"/>
        <v>0</v>
      </c>
    </row>
    <row r="96" spans="1:15" ht="78.75" hidden="1">
      <c r="A96" s="19" t="s">
        <v>157</v>
      </c>
      <c r="B96" s="19" t="s">
        <v>61</v>
      </c>
      <c r="C96" s="19" t="s">
        <v>54</v>
      </c>
      <c r="D96" s="11" t="s">
        <v>55</v>
      </c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>
        <f t="shared" si="13"/>
        <v>0</v>
      </c>
    </row>
    <row r="97" spans="1:15" s="13" customFormat="1" ht="35.25" customHeight="1">
      <c r="A97" s="25" t="s">
        <v>158</v>
      </c>
      <c r="B97" s="25"/>
      <c r="C97" s="25"/>
      <c r="D97" s="26" t="s">
        <v>15</v>
      </c>
      <c r="E97" s="41">
        <f>E98</f>
        <v>283.72000000000003</v>
      </c>
      <c r="F97" s="41">
        <f t="shared" ref="F97:O97" si="16">F98</f>
        <v>0</v>
      </c>
      <c r="G97" s="41">
        <f t="shared" si="16"/>
        <v>0</v>
      </c>
      <c r="H97" s="41">
        <f>H98</f>
        <v>1110</v>
      </c>
      <c r="I97" s="41">
        <f t="shared" si="16"/>
        <v>-50</v>
      </c>
      <c r="J97" s="41">
        <f t="shared" si="16"/>
        <v>0</v>
      </c>
      <c r="K97" s="41">
        <f t="shared" si="16"/>
        <v>0</v>
      </c>
      <c r="L97" s="41">
        <f t="shared" si="16"/>
        <v>1160</v>
      </c>
      <c r="M97" s="41">
        <f t="shared" si="16"/>
        <v>1110</v>
      </c>
      <c r="N97" s="41">
        <f t="shared" si="16"/>
        <v>1110</v>
      </c>
      <c r="O97" s="41">
        <f t="shared" si="16"/>
        <v>1393.72</v>
      </c>
    </row>
    <row r="98" spans="1:15" ht="33.75" customHeight="1">
      <c r="A98" s="19" t="s">
        <v>159</v>
      </c>
      <c r="B98" s="19"/>
      <c r="C98" s="19"/>
      <c r="D98" s="26" t="s">
        <v>15</v>
      </c>
      <c r="E98" s="41">
        <f>E99+E101+E102+E103+E100+E104+E105</f>
        <v>283.72000000000003</v>
      </c>
      <c r="F98" s="41">
        <f>F99+F101+F102+F103+F100+F104+F105</f>
        <v>0</v>
      </c>
      <c r="G98" s="41">
        <f>G99+G101+G102+G103+G100+G104+G105</f>
        <v>0</v>
      </c>
      <c r="H98" s="41">
        <f>I98+L98</f>
        <v>1110</v>
      </c>
      <c r="I98" s="41">
        <f t="shared" ref="I98:N98" si="17">I99+I101+I102+I103+I100+I104+I105</f>
        <v>-50</v>
      </c>
      <c r="J98" s="41">
        <f t="shared" si="17"/>
        <v>0</v>
      </c>
      <c r="K98" s="41">
        <f t="shared" si="17"/>
        <v>0</v>
      </c>
      <c r="L98" s="41">
        <f t="shared" si="17"/>
        <v>1160</v>
      </c>
      <c r="M98" s="41">
        <f t="shared" si="17"/>
        <v>1110</v>
      </c>
      <c r="N98" s="41">
        <f t="shared" si="17"/>
        <v>1110</v>
      </c>
      <c r="O98" s="41">
        <f t="shared" si="13"/>
        <v>1393.72</v>
      </c>
    </row>
    <row r="99" spans="1:15" ht="47.25" hidden="1">
      <c r="A99" s="19" t="s">
        <v>160</v>
      </c>
      <c r="B99" s="19" t="s">
        <v>124</v>
      </c>
      <c r="C99" s="19" t="s">
        <v>32</v>
      </c>
      <c r="D99" s="18" t="s">
        <v>126</v>
      </c>
      <c r="E99" s="24"/>
      <c r="F99" s="24"/>
      <c r="G99" s="24"/>
      <c r="H99" s="41"/>
      <c r="I99" s="24"/>
      <c r="J99" s="24"/>
      <c r="K99" s="24"/>
      <c r="L99" s="24"/>
      <c r="M99" s="24"/>
      <c r="N99" s="24"/>
      <c r="O99" s="24">
        <f t="shared" si="13"/>
        <v>0</v>
      </c>
    </row>
    <row r="100" spans="1:15" ht="63">
      <c r="A100" s="19" t="s">
        <v>170</v>
      </c>
      <c r="B100" s="19" t="s">
        <v>169</v>
      </c>
      <c r="C100" s="19" t="s">
        <v>50</v>
      </c>
      <c r="D100" s="18" t="s">
        <v>171</v>
      </c>
      <c r="E100" s="24"/>
      <c r="F100" s="24"/>
      <c r="G100" s="24"/>
      <c r="H100" s="24">
        <f>I100+L100</f>
        <v>120</v>
      </c>
      <c r="I100" s="24">
        <v>-50</v>
      </c>
      <c r="J100" s="24"/>
      <c r="K100" s="24"/>
      <c r="L100" s="24">
        <f>50+120</f>
        <v>170</v>
      </c>
      <c r="M100" s="24">
        <v>120</v>
      </c>
      <c r="N100" s="24">
        <v>120</v>
      </c>
      <c r="O100" s="24">
        <f t="shared" si="13"/>
        <v>120</v>
      </c>
    </row>
    <row r="101" spans="1:15" ht="15.75">
      <c r="A101" s="19" t="s">
        <v>162</v>
      </c>
      <c r="B101" s="19" t="s">
        <v>161</v>
      </c>
      <c r="C101" s="19" t="s">
        <v>95</v>
      </c>
      <c r="D101" s="12" t="s">
        <v>163</v>
      </c>
      <c r="E101" s="77">
        <v>50</v>
      </c>
      <c r="F101" s="77"/>
      <c r="G101" s="77"/>
      <c r="H101" s="24">
        <f>I101+L101</f>
        <v>600</v>
      </c>
      <c r="I101" s="77"/>
      <c r="J101" s="77"/>
      <c r="K101" s="77"/>
      <c r="L101" s="77">
        <v>600</v>
      </c>
      <c r="M101" s="77">
        <v>600</v>
      </c>
      <c r="N101" s="77">
        <v>600</v>
      </c>
      <c r="O101" s="77">
        <f t="shared" si="13"/>
        <v>650</v>
      </c>
    </row>
    <row r="102" spans="1:15" ht="15.75">
      <c r="A102" s="19" t="s">
        <v>165</v>
      </c>
      <c r="B102" s="19" t="s">
        <v>164</v>
      </c>
      <c r="C102" s="19" t="s">
        <v>95</v>
      </c>
      <c r="D102" s="12" t="s">
        <v>166</v>
      </c>
      <c r="E102" s="77">
        <v>28.72</v>
      </c>
      <c r="F102" s="77"/>
      <c r="G102" s="77"/>
      <c r="H102" s="24">
        <f>I102+L102</f>
        <v>90</v>
      </c>
      <c r="I102" s="77"/>
      <c r="J102" s="77"/>
      <c r="K102" s="77"/>
      <c r="L102" s="77">
        <f>50+40</f>
        <v>90</v>
      </c>
      <c r="M102" s="77">
        <f>50+40</f>
        <v>90</v>
      </c>
      <c r="N102" s="77">
        <f>50+40</f>
        <v>90</v>
      </c>
      <c r="O102" s="77">
        <f t="shared" si="13"/>
        <v>118.72</v>
      </c>
    </row>
    <row r="103" spans="1:15" ht="45.75" customHeight="1">
      <c r="A103" s="19" t="s">
        <v>167</v>
      </c>
      <c r="B103" s="19" t="s">
        <v>94</v>
      </c>
      <c r="C103" s="19" t="s">
        <v>96</v>
      </c>
      <c r="D103" s="12" t="s">
        <v>168</v>
      </c>
      <c r="E103" s="77">
        <v>120</v>
      </c>
      <c r="F103" s="77"/>
      <c r="G103" s="77"/>
      <c r="H103" s="24">
        <f>I103+L103</f>
        <v>300</v>
      </c>
      <c r="I103" s="77"/>
      <c r="J103" s="77"/>
      <c r="K103" s="77"/>
      <c r="L103" s="77">
        <f>120+180</f>
        <v>300</v>
      </c>
      <c r="M103" s="77">
        <f>120+180</f>
        <v>300</v>
      </c>
      <c r="N103" s="77">
        <f>120+180</f>
        <v>300</v>
      </c>
      <c r="O103" s="77">
        <f t="shared" si="13"/>
        <v>420</v>
      </c>
    </row>
    <row r="104" spans="1:15" ht="31.5" hidden="1">
      <c r="A104" s="19" t="s">
        <v>323</v>
      </c>
      <c r="B104" s="19" t="s">
        <v>288</v>
      </c>
      <c r="C104" s="19" t="s">
        <v>97</v>
      </c>
      <c r="D104" s="12" t="s">
        <v>289</v>
      </c>
      <c r="E104" s="77"/>
      <c r="F104" s="77"/>
      <c r="G104" s="77"/>
      <c r="H104" s="24">
        <f>I104+L104</f>
        <v>0</v>
      </c>
      <c r="I104" s="77"/>
      <c r="J104" s="77"/>
      <c r="K104" s="77"/>
      <c r="L104" s="77"/>
      <c r="M104" s="77"/>
      <c r="N104" s="77"/>
      <c r="O104" s="77">
        <f t="shared" si="13"/>
        <v>0</v>
      </c>
    </row>
    <row r="105" spans="1:15" ht="15.75">
      <c r="A105" s="19" t="s">
        <v>286</v>
      </c>
      <c r="B105" s="19" t="s">
        <v>287</v>
      </c>
      <c r="C105" s="19" t="s">
        <v>97</v>
      </c>
      <c r="D105" s="12" t="s">
        <v>290</v>
      </c>
      <c r="E105" s="77">
        <v>85</v>
      </c>
      <c r="F105" s="77"/>
      <c r="G105" s="77"/>
      <c r="H105" s="24"/>
      <c r="I105" s="77"/>
      <c r="J105" s="77"/>
      <c r="K105" s="77"/>
      <c r="L105" s="77"/>
      <c r="M105" s="77"/>
      <c r="N105" s="77"/>
      <c r="O105" s="77">
        <f t="shared" si="13"/>
        <v>85</v>
      </c>
    </row>
    <row r="106" spans="1:15" ht="48.75" customHeight="1">
      <c r="A106" s="25" t="s">
        <v>59</v>
      </c>
      <c r="B106" s="25"/>
      <c r="C106" s="25"/>
      <c r="D106" s="26" t="s">
        <v>18</v>
      </c>
      <c r="E106" s="78">
        <f>E107</f>
        <v>198.72</v>
      </c>
      <c r="F106" s="78">
        <f>F107</f>
        <v>0</v>
      </c>
      <c r="G106" s="78">
        <f>G107</f>
        <v>0</v>
      </c>
      <c r="H106" s="78">
        <f>H107</f>
        <v>0</v>
      </c>
      <c r="I106" s="78">
        <f t="shared" ref="I106:N106" si="18">I107</f>
        <v>0</v>
      </c>
      <c r="J106" s="78">
        <f t="shared" si="18"/>
        <v>0</v>
      </c>
      <c r="K106" s="78">
        <f t="shared" si="18"/>
        <v>0</v>
      </c>
      <c r="L106" s="78">
        <f t="shared" si="18"/>
        <v>0</v>
      </c>
      <c r="M106" s="78">
        <f t="shared" si="18"/>
        <v>0</v>
      </c>
      <c r="N106" s="78">
        <f t="shared" si="18"/>
        <v>0</v>
      </c>
      <c r="O106" s="41">
        <f t="shared" si="13"/>
        <v>198.72</v>
      </c>
    </row>
    <row r="107" spans="1:15" ht="50.25" customHeight="1">
      <c r="A107" s="25" t="s">
        <v>60</v>
      </c>
      <c r="B107" s="25"/>
      <c r="C107" s="25"/>
      <c r="D107" s="26" t="s">
        <v>18</v>
      </c>
      <c r="E107" s="41">
        <f>E108+E110+E111+E112+E113+E114+E109</f>
        <v>198.72</v>
      </c>
      <c r="F107" s="41">
        <f>F108+F110+F111+F112+F113+F114+F109</f>
        <v>0</v>
      </c>
      <c r="G107" s="41">
        <f>G108+G110+G111+G112+G113+G114+G109</f>
        <v>0</v>
      </c>
      <c r="H107" s="41">
        <f>I107+L107</f>
        <v>0</v>
      </c>
      <c r="I107" s="41">
        <f t="shared" ref="I107:N107" si="19">I108+I110+I111+I112+I113+I114+I109</f>
        <v>0</v>
      </c>
      <c r="J107" s="41">
        <f t="shared" si="19"/>
        <v>0</v>
      </c>
      <c r="K107" s="41">
        <f t="shared" si="19"/>
        <v>0</v>
      </c>
      <c r="L107" s="41">
        <f t="shared" si="19"/>
        <v>0</v>
      </c>
      <c r="M107" s="41">
        <f t="shared" si="19"/>
        <v>0</v>
      </c>
      <c r="N107" s="41">
        <f t="shared" si="19"/>
        <v>0</v>
      </c>
      <c r="O107" s="41">
        <f t="shared" si="13"/>
        <v>198.72</v>
      </c>
    </row>
    <row r="108" spans="1:15" ht="45.75" customHeight="1">
      <c r="A108" s="19" t="s">
        <v>172</v>
      </c>
      <c r="B108" s="19" t="s">
        <v>124</v>
      </c>
      <c r="C108" s="19" t="s">
        <v>32</v>
      </c>
      <c r="D108" s="18" t="s">
        <v>126</v>
      </c>
      <c r="E108" s="24">
        <f>198.72</f>
        <v>198.72</v>
      </c>
      <c r="F108" s="24"/>
      <c r="G108" s="24"/>
      <c r="H108" s="77">
        <f>I108+L108</f>
        <v>0</v>
      </c>
      <c r="I108" s="41"/>
      <c r="J108" s="41"/>
      <c r="K108" s="41"/>
      <c r="L108" s="24"/>
      <c r="M108" s="24"/>
      <c r="N108" s="24"/>
      <c r="O108" s="41">
        <f t="shared" si="13"/>
        <v>198.72</v>
      </c>
    </row>
    <row r="109" spans="1:15" ht="15.75" hidden="1">
      <c r="A109" s="19" t="s">
        <v>174</v>
      </c>
      <c r="B109" s="19" t="s">
        <v>173</v>
      </c>
      <c r="C109" s="19" t="s">
        <v>54</v>
      </c>
      <c r="D109" s="12" t="s">
        <v>63</v>
      </c>
      <c r="E109" s="24"/>
      <c r="F109" s="24"/>
      <c r="G109" s="24"/>
      <c r="H109" s="77"/>
      <c r="I109" s="41"/>
      <c r="J109" s="41"/>
      <c r="K109" s="41"/>
      <c r="L109" s="24"/>
      <c r="M109" s="24"/>
      <c r="N109" s="24"/>
      <c r="O109" s="41"/>
    </row>
    <row r="110" spans="1:15" ht="18" hidden="1" customHeight="1">
      <c r="A110" s="19" t="s">
        <v>176</v>
      </c>
      <c r="B110" s="19" t="s">
        <v>175</v>
      </c>
      <c r="C110" s="19" t="s">
        <v>54</v>
      </c>
      <c r="D110" s="12" t="s">
        <v>111</v>
      </c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41">
        <f t="shared" si="13"/>
        <v>0</v>
      </c>
    </row>
    <row r="111" spans="1:15" ht="78.75" hidden="1">
      <c r="A111" s="19" t="s">
        <v>62</v>
      </c>
      <c r="B111" s="19" t="s">
        <v>61</v>
      </c>
      <c r="C111" s="19" t="s">
        <v>54</v>
      </c>
      <c r="D111" s="11" t="s">
        <v>55</v>
      </c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41">
        <f t="shared" si="13"/>
        <v>0</v>
      </c>
    </row>
    <row r="112" spans="1:15" ht="31.5" hidden="1">
      <c r="A112" s="19" t="s">
        <v>65</v>
      </c>
      <c r="B112" s="19" t="s">
        <v>64</v>
      </c>
      <c r="C112" s="19" t="s">
        <v>56</v>
      </c>
      <c r="D112" s="12" t="s">
        <v>102</v>
      </c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41">
        <f t="shared" si="13"/>
        <v>0</v>
      </c>
    </row>
    <row r="113" spans="1:15" ht="31.5" hidden="1">
      <c r="A113" s="19" t="s">
        <v>104</v>
      </c>
      <c r="B113" s="19" t="s">
        <v>105</v>
      </c>
      <c r="C113" s="19" t="s">
        <v>56</v>
      </c>
      <c r="D113" s="12" t="s">
        <v>106</v>
      </c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41">
        <f t="shared" si="13"/>
        <v>0</v>
      </c>
    </row>
    <row r="114" spans="1:15" s="16" customFormat="1" ht="63" hidden="1">
      <c r="A114" s="19" t="s">
        <v>112</v>
      </c>
      <c r="B114" s="19" t="s">
        <v>113</v>
      </c>
      <c r="C114" s="19" t="s">
        <v>56</v>
      </c>
      <c r="D114" s="18" t="s">
        <v>114</v>
      </c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41">
        <f t="shared" si="13"/>
        <v>0</v>
      </c>
    </row>
    <row r="115" spans="1:15" s="13" customFormat="1" ht="47.25">
      <c r="A115" s="25" t="s">
        <v>177</v>
      </c>
      <c r="B115" s="25"/>
      <c r="C115" s="25"/>
      <c r="D115" s="26" t="s">
        <v>22</v>
      </c>
      <c r="E115" s="78">
        <f>E116</f>
        <v>1152.4000000000001</v>
      </c>
      <c r="F115" s="78">
        <f t="shared" ref="F115:N115" si="20">F116</f>
        <v>0</v>
      </c>
      <c r="G115" s="78">
        <f t="shared" si="20"/>
        <v>0</v>
      </c>
      <c r="H115" s="78">
        <f t="shared" si="20"/>
        <v>16253.897999999999</v>
      </c>
      <c r="I115" s="78">
        <f t="shared" si="20"/>
        <v>0</v>
      </c>
      <c r="J115" s="78">
        <f t="shared" si="20"/>
        <v>0</v>
      </c>
      <c r="K115" s="78">
        <f t="shared" si="20"/>
        <v>0</v>
      </c>
      <c r="L115" s="78">
        <f t="shared" si="20"/>
        <v>16253.897999999999</v>
      </c>
      <c r="M115" s="78">
        <f t="shared" si="20"/>
        <v>16253.897999999999</v>
      </c>
      <c r="N115" s="78">
        <f t="shared" si="20"/>
        <v>16253.897999999999</v>
      </c>
      <c r="O115" s="78">
        <f t="shared" si="13"/>
        <v>17406.297999999999</v>
      </c>
    </row>
    <row r="116" spans="1:15" ht="47.25">
      <c r="A116" s="25" t="s">
        <v>178</v>
      </c>
      <c r="B116" s="19"/>
      <c r="C116" s="19"/>
      <c r="D116" s="26" t="s">
        <v>22</v>
      </c>
      <c r="E116" s="41">
        <f>E117+E118+E119+E120+E121+E122+E124+E125+E128+E130+E131+E132</f>
        <v>1152.4000000000001</v>
      </c>
      <c r="F116" s="41">
        <f>F117+F118+F119+F120+F121+F122+F125+F128+F130+F131+F132</f>
        <v>0</v>
      </c>
      <c r="G116" s="41">
        <f>G117+G118+G119+G120+G121+G122+G125+G128+G130+G131+G132</f>
        <v>0</v>
      </c>
      <c r="H116" s="41">
        <f>I116+L116</f>
        <v>16253.897999999999</v>
      </c>
      <c r="I116" s="41">
        <f>I117+I118+I119+I120+I121+I122+I125+I128+I130+I131+I132+I133+I123+I124+I126</f>
        <v>0</v>
      </c>
      <c r="J116" s="41">
        <f>J117+J118+J119+J120+J121+J122+J125+J128+J130+J131+J132+J133+J123+J124+J126</f>
        <v>0</v>
      </c>
      <c r="K116" s="41">
        <f>K117+K118+K119+K120+K121+K122+K125+K128+K130+K131+K132+K133+K123+K124+K126</f>
        <v>0</v>
      </c>
      <c r="L116" s="41">
        <f>L117+L118+L119+L120+L121+L122+L125+L127+L128+L129+L130+L131+L132+L133+L123+L124+L126</f>
        <v>16253.897999999999</v>
      </c>
      <c r="M116" s="41">
        <f>M117+M118+M119+M120+M121+M122+M125+M127+M128+M129+M130+M131+M132+M133+M123+M124+M126</f>
        <v>16253.897999999999</v>
      </c>
      <c r="N116" s="41">
        <f>N117+N118+N119+N120+N121+N122+N125+N127+N128+N129+N130+N131+N132+N133+N123+N124+N126</f>
        <v>16253.897999999999</v>
      </c>
      <c r="O116" s="78">
        <f t="shared" ref="O116:O124" si="21">E116+H116</f>
        <v>17406.297999999999</v>
      </c>
    </row>
    <row r="117" spans="1:15" ht="47.25" hidden="1">
      <c r="A117" s="19" t="s">
        <v>179</v>
      </c>
      <c r="B117" s="19" t="s">
        <v>124</v>
      </c>
      <c r="C117" s="19" t="s">
        <v>32</v>
      </c>
      <c r="D117" s="18" t="s">
        <v>126</v>
      </c>
      <c r="E117" s="24"/>
      <c r="F117" s="24"/>
      <c r="G117" s="24"/>
      <c r="H117" s="24">
        <f t="shared" ref="H117:H133" si="22">I117+L117</f>
        <v>0</v>
      </c>
      <c r="I117" s="24"/>
      <c r="J117" s="24"/>
      <c r="K117" s="24"/>
      <c r="L117" s="24"/>
      <c r="M117" s="24"/>
      <c r="N117" s="24"/>
      <c r="O117" s="24">
        <f t="shared" si="21"/>
        <v>0</v>
      </c>
    </row>
    <row r="118" spans="1:15" ht="15.75" hidden="1">
      <c r="A118" s="19" t="s">
        <v>301</v>
      </c>
      <c r="B118" s="19" t="s">
        <v>300</v>
      </c>
      <c r="C118" s="19" t="s">
        <v>252</v>
      </c>
      <c r="D118" s="18" t="s">
        <v>253</v>
      </c>
      <c r="E118" s="24"/>
      <c r="F118" s="24"/>
      <c r="G118" s="24"/>
      <c r="H118" s="41"/>
      <c r="I118" s="24"/>
      <c r="J118" s="24"/>
      <c r="K118" s="24"/>
      <c r="L118" s="24"/>
      <c r="M118" s="24"/>
      <c r="N118" s="24"/>
      <c r="O118" s="24">
        <f t="shared" si="21"/>
        <v>0</v>
      </c>
    </row>
    <row r="119" spans="1:15" ht="31.5">
      <c r="A119" s="19" t="s">
        <v>201</v>
      </c>
      <c r="B119" s="19" t="s">
        <v>200</v>
      </c>
      <c r="C119" s="19" t="s">
        <v>40</v>
      </c>
      <c r="D119" s="12" t="s">
        <v>202</v>
      </c>
      <c r="E119" s="77"/>
      <c r="F119" s="24"/>
      <c r="G119" s="24"/>
      <c r="H119" s="24">
        <f t="shared" si="22"/>
        <v>5704</v>
      </c>
      <c r="I119" s="24"/>
      <c r="J119" s="24"/>
      <c r="K119" s="24"/>
      <c r="L119" s="24">
        <f>80+40+392+6692-1500</f>
        <v>5704</v>
      </c>
      <c r="M119" s="24">
        <f>80+40+392+6692-1500</f>
        <v>5704</v>
      </c>
      <c r="N119" s="24">
        <f>80+40+392+6692-1500</f>
        <v>5704</v>
      </c>
      <c r="O119" s="24">
        <f t="shared" si="21"/>
        <v>5704</v>
      </c>
    </row>
    <row r="120" spans="1:15" ht="31.5" hidden="1">
      <c r="A120" s="19" t="s">
        <v>261</v>
      </c>
      <c r="B120" s="19" t="s">
        <v>260</v>
      </c>
      <c r="C120" s="19" t="s">
        <v>40</v>
      </c>
      <c r="D120" s="12" t="s">
        <v>262</v>
      </c>
      <c r="E120" s="77"/>
      <c r="F120" s="24"/>
      <c r="G120" s="24"/>
      <c r="H120" s="24">
        <f t="shared" si="22"/>
        <v>0</v>
      </c>
      <c r="I120" s="24"/>
      <c r="J120" s="24"/>
      <c r="K120" s="24"/>
      <c r="L120" s="24"/>
      <c r="M120" s="24"/>
      <c r="N120" s="24"/>
      <c r="O120" s="24">
        <f t="shared" si="21"/>
        <v>0</v>
      </c>
    </row>
    <row r="121" spans="1:15" ht="31.5">
      <c r="A121" s="19" t="s">
        <v>204</v>
      </c>
      <c r="B121" s="19" t="s">
        <v>203</v>
      </c>
      <c r="C121" s="19" t="s">
        <v>40</v>
      </c>
      <c r="D121" s="12" t="s">
        <v>205</v>
      </c>
      <c r="E121" s="77"/>
      <c r="F121" s="24"/>
      <c r="G121" s="24"/>
      <c r="H121" s="24">
        <f t="shared" si="22"/>
        <v>363.3</v>
      </c>
      <c r="I121" s="24"/>
      <c r="J121" s="24"/>
      <c r="K121" s="24"/>
      <c r="L121" s="24">
        <v>363.3</v>
      </c>
      <c r="M121" s="24">
        <v>363.3</v>
      </c>
      <c r="N121" s="24">
        <v>363.3</v>
      </c>
      <c r="O121" s="24">
        <f t="shared" si="21"/>
        <v>363.3</v>
      </c>
    </row>
    <row r="122" spans="1:15" ht="31.5">
      <c r="A122" s="19" t="s">
        <v>255</v>
      </c>
      <c r="B122" s="19" t="s">
        <v>254</v>
      </c>
      <c r="C122" s="19" t="s">
        <v>40</v>
      </c>
      <c r="D122" s="12" t="s">
        <v>256</v>
      </c>
      <c r="E122" s="77"/>
      <c r="F122" s="24"/>
      <c r="G122" s="24"/>
      <c r="H122" s="24">
        <f t="shared" si="22"/>
        <v>3850</v>
      </c>
      <c r="I122" s="24"/>
      <c r="J122" s="24"/>
      <c r="K122" s="24"/>
      <c r="L122" s="24">
        <v>3850</v>
      </c>
      <c r="M122" s="24">
        <v>3850</v>
      </c>
      <c r="N122" s="24">
        <v>3850</v>
      </c>
      <c r="O122" s="24">
        <f t="shared" si="21"/>
        <v>3850</v>
      </c>
    </row>
    <row r="123" spans="1:15" ht="47.25">
      <c r="A123" s="19" t="s">
        <v>332</v>
      </c>
      <c r="B123" s="19" t="s">
        <v>333</v>
      </c>
      <c r="C123" s="19" t="s">
        <v>40</v>
      </c>
      <c r="D123" s="12" t="s">
        <v>334</v>
      </c>
      <c r="E123" s="77"/>
      <c r="F123" s="24"/>
      <c r="G123" s="24"/>
      <c r="H123" s="24">
        <f t="shared" si="22"/>
        <v>81.093999999999994</v>
      </c>
      <c r="I123" s="24"/>
      <c r="J123" s="24"/>
      <c r="K123" s="24"/>
      <c r="L123" s="24">
        <v>81.093999999999994</v>
      </c>
      <c r="M123" s="24">
        <v>81.093999999999994</v>
      </c>
      <c r="N123" s="24">
        <v>81.093999999999994</v>
      </c>
      <c r="O123" s="24">
        <f t="shared" si="21"/>
        <v>81.093999999999994</v>
      </c>
    </row>
    <row r="124" spans="1:15" ht="33" customHeight="1">
      <c r="A124" s="19" t="s">
        <v>335</v>
      </c>
      <c r="B124" s="19" t="s">
        <v>336</v>
      </c>
      <c r="C124" s="19" t="s">
        <v>40</v>
      </c>
      <c r="D124" s="12" t="s">
        <v>337</v>
      </c>
      <c r="E124" s="77">
        <v>200</v>
      </c>
      <c r="F124" s="24"/>
      <c r="G124" s="24"/>
      <c r="H124" s="24">
        <f t="shared" si="22"/>
        <v>1958</v>
      </c>
      <c r="I124" s="24"/>
      <c r="J124" s="24"/>
      <c r="K124" s="24"/>
      <c r="L124" s="24">
        <f>458+1500</f>
        <v>1958</v>
      </c>
      <c r="M124" s="24">
        <f>458+1500</f>
        <v>1958</v>
      </c>
      <c r="N124" s="24">
        <f>458+1500</f>
        <v>1958</v>
      </c>
      <c r="O124" s="24">
        <f t="shared" si="21"/>
        <v>2158</v>
      </c>
    </row>
    <row r="125" spans="1:15" s="16" customFormat="1" ht="18" customHeight="1">
      <c r="A125" s="19" t="s">
        <v>180</v>
      </c>
      <c r="B125" s="19" t="s">
        <v>99</v>
      </c>
      <c r="C125" s="19" t="s">
        <v>40</v>
      </c>
      <c r="D125" s="18" t="s">
        <v>121</v>
      </c>
      <c r="E125" s="24">
        <v>200</v>
      </c>
      <c r="F125" s="24"/>
      <c r="G125" s="24"/>
      <c r="H125" s="24">
        <f t="shared" si="22"/>
        <v>435.404</v>
      </c>
      <c r="I125" s="24"/>
      <c r="J125" s="24"/>
      <c r="K125" s="24"/>
      <c r="L125" s="24">
        <f>18.468+18.468+18.468+200+180</f>
        <v>435.404</v>
      </c>
      <c r="M125" s="24">
        <f>18.468+18.468+18.468+200+180</f>
        <v>435.404</v>
      </c>
      <c r="N125" s="24">
        <f>18.468+18.468+18.468+200+180</f>
        <v>435.404</v>
      </c>
      <c r="O125" s="24">
        <f t="shared" ref="O125:O133" si="23">E125+H125</f>
        <v>635.404</v>
      </c>
    </row>
    <row r="126" spans="1:15" s="16" customFormat="1" ht="47.25" hidden="1">
      <c r="A126" s="19" t="s">
        <v>338</v>
      </c>
      <c r="B126" s="19" t="s">
        <v>339</v>
      </c>
      <c r="C126" s="19" t="s">
        <v>40</v>
      </c>
      <c r="D126" s="18" t="s">
        <v>340</v>
      </c>
      <c r="E126" s="24"/>
      <c r="F126" s="24"/>
      <c r="G126" s="24"/>
      <c r="H126" s="24">
        <f t="shared" si="22"/>
        <v>0</v>
      </c>
      <c r="I126" s="24"/>
      <c r="J126" s="24"/>
      <c r="K126" s="24"/>
      <c r="L126" s="24"/>
      <c r="M126" s="24"/>
      <c r="N126" s="24"/>
      <c r="O126" s="24">
        <f t="shared" si="23"/>
        <v>0</v>
      </c>
    </row>
    <row r="127" spans="1:15" s="16" customFormat="1" ht="31.5" hidden="1">
      <c r="A127" s="19" t="s">
        <v>349</v>
      </c>
      <c r="B127" s="19" t="s">
        <v>348</v>
      </c>
      <c r="C127" s="19" t="s">
        <v>265</v>
      </c>
      <c r="D127" s="18" t="s">
        <v>350</v>
      </c>
      <c r="E127" s="24"/>
      <c r="F127" s="24"/>
      <c r="G127" s="24"/>
      <c r="H127" s="24">
        <f t="shared" si="22"/>
        <v>0</v>
      </c>
      <c r="I127" s="24"/>
      <c r="J127" s="24"/>
      <c r="K127" s="24"/>
      <c r="L127" s="24"/>
      <c r="M127" s="24"/>
      <c r="N127" s="24"/>
      <c r="O127" s="24">
        <f t="shared" si="23"/>
        <v>0</v>
      </c>
    </row>
    <row r="128" spans="1:15" s="16" customFormat="1" ht="4.5" hidden="1" customHeight="1">
      <c r="A128" s="19" t="s">
        <v>264</v>
      </c>
      <c r="B128" s="19" t="s">
        <v>263</v>
      </c>
      <c r="C128" s="19" t="s">
        <v>265</v>
      </c>
      <c r="D128" s="12" t="s">
        <v>266</v>
      </c>
      <c r="E128" s="24"/>
      <c r="F128" s="24"/>
      <c r="G128" s="24"/>
      <c r="H128" s="24">
        <f t="shared" si="22"/>
        <v>0</v>
      </c>
      <c r="I128" s="24"/>
      <c r="J128" s="24"/>
      <c r="K128" s="24"/>
      <c r="L128" s="24"/>
      <c r="M128" s="24"/>
      <c r="N128" s="24"/>
      <c r="O128" s="24">
        <f t="shared" si="23"/>
        <v>0</v>
      </c>
    </row>
    <row r="129" spans="1:15" s="16" customFormat="1" ht="15.75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22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23"/>
        <v>200</v>
      </c>
    </row>
    <row r="130" spans="1:15" s="16" customFormat="1" ht="31.5">
      <c r="A130" s="19" t="s">
        <v>292</v>
      </c>
      <c r="B130" s="19" t="s">
        <v>291</v>
      </c>
      <c r="C130" s="19" t="s">
        <v>58</v>
      </c>
      <c r="D130" s="18" t="s">
        <v>258</v>
      </c>
      <c r="E130" s="24"/>
      <c r="F130" s="24"/>
      <c r="G130" s="24"/>
      <c r="H130" s="24">
        <f t="shared" si="22"/>
        <v>2267.5</v>
      </c>
      <c r="I130" s="24"/>
      <c r="J130" s="24"/>
      <c r="K130" s="24"/>
      <c r="L130" s="24">
        <f>1500+767.5</f>
        <v>2267.5</v>
      </c>
      <c r="M130" s="24">
        <f>1500+767.5</f>
        <v>2267.5</v>
      </c>
      <c r="N130" s="24">
        <f>1500+767.5</f>
        <v>2267.5</v>
      </c>
      <c r="O130" s="24">
        <f t="shared" si="23"/>
        <v>2267.5</v>
      </c>
    </row>
    <row r="131" spans="1:15" s="16" customFormat="1" ht="47.25">
      <c r="A131" s="19" t="s">
        <v>257</v>
      </c>
      <c r="B131" s="19" t="s">
        <v>198</v>
      </c>
      <c r="C131" s="19" t="s">
        <v>100</v>
      </c>
      <c r="D131" s="12" t="s">
        <v>199</v>
      </c>
      <c r="E131" s="24">
        <v>752.4</v>
      </c>
      <c r="F131" s="24"/>
      <c r="G131" s="24"/>
      <c r="H131" s="24">
        <f>I131+L131</f>
        <v>1394.6</v>
      </c>
      <c r="I131" s="24"/>
      <c r="J131" s="24"/>
      <c r="K131" s="24"/>
      <c r="L131" s="24">
        <v>1394.6</v>
      </c>
      <c r="M131" s="24">
        <v>1394.6</v>
      </c>
      <c r="N131" s="24">
        <v>1394.6</v>
      </c>
      <c r="O131" s="24">
        <f>E131+H131</f>
        <v>2147</v>
      </c>
    </row>
    <row r="132" spans="1:15" s="16" customFormat="1" ht="15.75" hidden="1">
      <c r="A132" s="19" t="s">
        <v>259</v>
      </c>
      <c r="B132" s="19" t="s">
        <v>196</v>
      </c>
      <c r="C132" s="19" t="s">
        <v>38</v>
      </c>
      <c r="D132" s="12" t="s">
        <v>39</v>
      </c>
      <c r="E132" s="24"/>
      <c r="F132" s="24"/>
      <c r="G132" s="24"/>
      <c r="H132" s="24">
        <f t="shared" si="22"/>
        <v>0</v>
      </c>
      <c r="I132" s="24"/>
      <c r="J132" s="24"/>
      <c r="K132" s="24"/>
      <c r="L132" s="24"/>
      <c r="M132" s="24"/>
      <c r="N132" s="24"/>
      <c r="O132" s="24">
        <f t="shared" si="23"/>
        <v>0</v>
      </c>
    </row>
    <row r="133" spans="1:15" s="16" customFormat="1" ht="31.5" hidden="1">
      <c r="A133" s="19" t="s">
        <v>283</v>
      </c>
      <c r="B133" s="19" t="s">
        <v>274</v>
      </c>
      <c r="C133" s="19" t="s">
        <v>101</v>
      </c>
      <c r="D133" s="18" t="s">
        <v>295</v>
      </c>
      <c r="E133" s="24"/>
      <c r="F133" s="24"/>
      <c r="G133" s="24"/>
      <c r="H133" s="24">
        <f t="shared" si="22"/>
        <v>0</v>
      </c>
      <c r="I133" s="24"/>
      <c r="J133" s="24"/>
      <c r="K133" s="24"/>
      <c r="L133" s="24"/>
      <c r="M133" s="24"/>
      <c r="N133" s="24"/>
      <c r="O133" s="24">
        <f t="shared" si="23"/>
        <v>0</v>
      </c>
    </row>
    <row r="134" spans="1:15" s="13" customFormat="1" ht="47.25">
      <c r="A134" s="25" t="s">
        <v>66</v>
      </c>
      <c r="B134" s="25"/>
      <c r="C134" s="25"/>
      <c r="D134" s="26" t="s">
        <v>27</v>
      </c>
      <c r="E134" s="41">
        <f>E135</f>
        <v>0</v>
      </c>
      <c r="F134" s="41">
        <f t="shared" ref="F134:O134" si="24">F135</f>
        <v>0</v>
      </c>
      <c r="G134" s="41">
        <f t="shared" si="24"/>
        <v>0</v>
      </c>
      <c r="H134" s="41">
        <f t="shared" si="24"/>
        <v>11183.483980000001</v>
      </c>
      <c r="I134" s="41">
        <f t="shared" si="24"/>
        <v>0</v>
      </c>
      <c r="J134" s="41">
        <f t="shared" si="24"/>
        <v>0</v>
      </c>
      <c r="K134" s="41">
        <f t="shared" si="24"/>
        <v>0</v>
      </c>
      <c r="L134" s="41">
        <f t="shared" si="24"/>
        <v>11183.483980000001</v>
      </c>
      <c r="M134" s="41">
        <f t="shared" si="24"/>
        <v>0</v>
      </c>
      <c r="N134" s="41">
        <f t="shared" si="24"/>
        <v>0</v>
      </c>
      <c r="O134" s="41">
        <f t="shared" si="24"/>
        <v>11183.483980000001</v>
      </c>
    </row>
    <row r="135" spans="1:15" ht="47.25">
      <c r="A135" s="25" t="s">
        <v>67</v>
      </c>
      <c r="B135" s="19"/>
      <c r="C135" s="19"/>
      <c r="D135" s="26" t="s">
        <v>27</v>
      </c>
      <c r="E135" s="41">
        <f>E136+E137+E138+E140</f>
        <v>0</v>
      </c>
      <c r="F135" s="41">
        <f>F136+F137+F138+F140</f>
        <v>0</v>
      </c>
      <c r="G135" s="41">
        <f>G136+G137+G138+G140</f>
        <v>0</v>
      </c>
      <c r="H135" s="41">
        <f t="shared" ref="H135:H140" si="25">I135+L135</f>
        <v>11183.483980000001</v>
      </c>
      <c r="I135" s="41">
        <f t="shared" ref="I135:N135" si="26">I136+I137+I138+I139+I140</f>
        <v>0</v>
      </c>
      <c r="J135" s="41">
        <f t="shared" si="26"/>
        <v>0</v>
      </c>
      <c r="K135" s="41">
        <f t="shared" si="26"/>
        <v>0</v>
      </c>
      <c r="L135" s="41">
        <f t="shared" si="26"/>
        <v>11183.483980000001</v>
      </c>
      <c r="M135" s="41">
        <f t="shared" si="26"/>
        <v>0</v>
      </c>
      <c r="N135" s="41">
        <f t="shared" si="26"/>
        <v>0</v>
      </c>
      <c r="O135" s="41">
        <f t="shared" ref="O135:O140" si="27">E135+H135</f>
        <v>11183.483980000001</v>
      </c>
    </row>
    <row r="136" spans="1:15" ht="47.25" hidden="1">
      <c r="A136" s="19" t="s">
        <v>184</v>
      </c>
      <c r="B136" s="19" t="s">
        <v>124</v>
      </c>
      <c r="C136" s="19" t="s">
        <v>32</v>
      </c>
      <c r="D136" s="18" t="s">
        <v>126</v>
      </c>
      <c r="E136" s="24"/>
      <c r="F136" s="24"/>
      <c r="G136" s="24"/>
      <c r="H136" s="24">
        <f t="shared" si="25"/>
        <v>0</v>
      </c>
      <c r="I136" s="24"/>
      <c r="J136" s="24"/>
      <c r="K136" s="24"/>
      <c r="L136" s="24"/>
      <c r="M136" s="24"/>
      <c r="N136" s="24"/>
      <c r="O136" s="24">
        <f t="shared" si="27"/>
        <v>0</v>
      </c>
    </row>
    <row r="137" spans="1:15" ht="31.5" hidden="1">
      <c r="A137" s="19" t="s">
        <v>269</v>
      </c>
      <c r="B137" s="19" t="s">
        <v>267</v>
      </c>
      <c r="C137" s="19" t="s">
        <v>98</v>
      </c>
      <c r="D137" s="18" t="s">
        <v>268</v>
      </c>
      <c r="E137" s="24"/>
      <c r="F137" s="24"/>
      <c r="G137" s="24"/>
      <c r="H137" s="24">
        <f t="shared" si="25"/>
        <v>0</v>
      </c>
      <c r="I137" s="24"/>
      <c r="J137" s="24"/>
      <c r="K137" s="24"/>
      <c r="L137" s="24"/>
      <c r="M137" s="24"/>
      <c r="N137" s="24"/>
      <c r="O137" s="24">
        <f t="shared" si="27"/>
        <v>0</v>
      </c>
    </row>
    <row r="138" spans="1:15" ht="31.5" hidden="1">
      <c r="A138" s="19" t="s">
        <v>293</v>
      </c>
      <c r="B138" s="19" t="s">
        <v>291</v>
      </c>
      <c r="C138" s="19" t="s">
        <v>58</v>
      </c>
      <c r="D138" s="18" t="s">
        <v>258</v>
      </c>
      <c r="E138" s="24"/>
      <c r="F138" s="24"/>
      <c r="G138" s="24"/>
      <c r="H138" s="24">
        <f t="shared" si="25"/>
        <v>0</v>
      </c>
      <c r="I138" s="24"/>
      <c r="J138" s="24"/>
      <c r="K138" s="24"/>
      <c r="L138" s="24"/>
      <c r="M138" s="24"/>
      <c r="N138" s="24"/>
      <c r="O138" s="24">
        <f t="shared" si="27"/>
        <v>0</v>
      </c>
    </row>
    <row r="139" spans="1:15" ht="31.5" hidden="1">
      <c r="A139" s="19" t="s">
        <v>271</v>
      </c>
      <c r="B139" s="19" t="s">
        <v>270</v>
      </c>
      <c r="C139" s="19" t="s">
        <v>273</v>
      </c>
      <c r="D139" s="18" t="s">
        <v>272</v>
      </c>
      <c r="E139" s="24"/>
      <c r="F139" s="24"/>
      <c r="G139" s="24"/>
      <c r="H139" s="24">
        <f>I139+L139</f>
        <v>0</v>
      </c>
      <c r="I139" s="24"/>
      <c r="J139" s="24"/>
      <c r="K139" s="24"/>
      <c r="L139" s="24"/>
      <c r="M139" s="24"/>
      <c r="N139" s="24"/>
      <c r="O139" s="24">
        <f t="shared" si="27"/>
        <v>0</v>
      </c>
    </row>
    <row r="140" spans="1:15" ht="146.25" customHeight="1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 t="shared" si="25"/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27"/>
        <v>11183.483980000001</v>
      </c>
    </row>
    <row r="141" spans="1:15" s="13" customFormat="1" ht="47.25" hidden="1">
      <c r="A141" s="25" t="s">
        <v>181</v>
      </c>
      <c r="B141" s="25"/>
      <c r="C141" s="25"/>
      <c r="D141" s="26" t="s">
        <v>24</v>
      </c>
      <c r="E141" s="41">
        <f>E142</f>
        <v>0</v>
      </c>
      <c r="F141" s="41">
        <f t="shared" ref="F141:O141" si="28">F142</f>
        <v>0</v>
      </c>
      <c r="G141" s="41">
        <f t="shared" si="28"/>
        <v>0</v>
      </c>
      <c r="H141" s="41">
        <f t="shared" si="28"/>
        <v>0</v>
      </c>
      <c r="I141" s="41">
        <f t="shared" si="28"/>
        <v>0</v>
      </c>
      <c r="J141" s="41">
        <f t="shared" si="28"/>
        <v>0</v>
      </c>
      <c r="K141" s="41">
        <f t="shared" si="28"/>
        <v>0</v>
      </c>
      <c r="L141" s="41">
        <f t="shared" si="28"/>
        <v>0</v>
      </c>
      <c r="M141" s="41">
        <f t="shared" si="28"/>
        <v>0</v>
      </c>
      <c r="N141" s="41">
        <f t="shared" si="28"/>
        <v>0</v>
      </c>
      <c r="O141" s="41">
        <f t="shared" si="28"/>
        <v>0</v>
      </c>
    </row>
    <row r="142" spans="1:15" ht="47.25" hidden="1">
      <c r="A142" s="25" t="s">
        <v>182</v>
      </c>
      <c r="B142" s="19"/>
      <c r="C142" s="19"/>
      <c r="D142" s="26" t="s">
        <v>24</v>
      </c>
      <c r="E142" s="41">
        <f>E143+E144+E145</f>
        <v>0</v>
      </c>
      <c r="F142" s="41">
        <f>F143+F144+F145</f>
        <v>0</v>
      </c>
      <c r="G142" s="41">
        <f>G143+G144+G145</f>
        <v>0</v>
      </c>
      <c r="H142" s="41">
        <f>I142+L142</f>
        <v>0</v>
      </c>
      <c r="I142" s="41">
        <f t="shared" ref="I142:N142" si="29">I143+I144+I145</f>
        <v>0</v>
      </c>
      <c r="J142" s="41">
        <f t="shared" si="29"/>
        <v>0</v>
      </c>
      <c r="K142" s="41">
        <f t="shared" si="29"/>
        <v>0</v>
      </c>
      <c r="L142" s="41">
        <f t="shared" si="29"/>
        <v>0</v>
      </c>
      <c r="M142" s="41">
        <f t="shared" si="29"/>
        <v>0</v>
      </c>
      <c r="N142" s="41">
        <f t="shared" si="29"/>
        <v>0</v>
      </c>
      <c r="O142" s="41">
        <f>E142+H142</f>
        <v>0</v>
      </c>
    </row>
    <row r="143" spans="1:15" ht="47.25" hidden="1">
      <c r="A143" s="19" t="s">
        <v>183</v>
      </c>
      <c r="B143" s="19" t="s">
        <v>124</v>
      </c>
      <c r="C143" s="19" t="s">
        <v>32</v>
      </c>
      <c r="D143" s="18" t="s">
        <v>126</v>
      </c>
      <c r="E143" s="24"/>
      <c r="F143" s="24"/>
      <c r="G143" s="24"/>
      <c r="H143" s="24">
        <f>I143+L143</f>
        <v>0</v>
      </c>
      <c r="I143" s="24"/>
      <c r="J143" s="24"/>
      <c r="K143" s="24"/>
      <c r="L143" s="24"/>
      <c r="M143" s="24"/>
      <c r="N143" s="24"/>
      <c r="O143" s="24">
        <f>E143+H143</f>
        <v>0</v>
      </c>
    </row>
    <row r="144" spans="1:15" ht="31.5" hidden="1">
      <c r="A144" s="19" t="s">
        <v>331</v>
      </c>
      <c r="B144" s="19" t="s">
        <v>41</v>
      </c>
      <c r="C144" s="19" t="s">
        <v>37</v>
      </c>
      <c r="D144" s="18" t="s">
        <v>207</v>
      </c>
      <c r="E144" s="24"/>
      <c r="F144" s="24"/>
      <c r="G144" s="24"/>
      <c r="H144" s="24">
        <f>I144+L144</f>
        <v>0</v>
      </c>
      <c r="I144" s="24"/>
      <c r="J144" s="24"/>
      <c r="K144" s="24"/>
      <c r="L144" s="24"/>
      <c r="M144" s="24"/>
      <c r="N144" s="24"/>
      <c r="O144" s="24">
        <f>E144+H144</f>
        <v>0</v>
      </c>
    </row>
    <row r="145" spans="1:15" ht="31.5" hidden="1">
      <c r="A145" s="19" t="s">
        <v>352</v>
      </c>
      <c r="B145" s="19" t="s">
        <v>263</v>
      </c>
      <c r="C145" s="19" t="s">
        <v>265</v>
      </c>
      <c r="D145" s="18" t="s">
        <v>266</v>
      </c>
      <c r="E145" s="24"/>
      <c r="F145" s="24"/>
      <c r="G145" s="24"/>
      <c r="H145" s="24">
        <f>I145+L145</f>
        <v>0</v>
      </c>
      <c r="I145" s="24"/>
      <c r="J145" s="24"/>
      <c r="K145" s="24"/>
      <c r="L145" s="24"/>
      <c r="M145" s="24"/>
      <c r="N145" s="24"/>
      <c r="O145" s="24">
        <f>E145+H145</f>
        <v>0</v>
      </c>
    </row>
    <row r="146" spans="1:15" ht="47.25" hidden="1">
      <c r="A146" s="25" t="s">
        <v>185</v>
      </c>
      <c r="B146" s="25"/>
      <c r="C146" s="25"/>
      <c r="D146" s="26" t="s">
        <v>23</v>
      </c>
      <c r="E146" s="41">
        <f>E147</f>
        <v>0</v>
      </c>
      <c r="F146" s="41">
        <f t="shared" ref="F146:O146" si="30">F147</f>
        <v>0</v>
      </c>
      <c r="G146" s="41">
        <f t="shared" si="30"/>
        <v>0</v>
      </c>
      <c r="H146" s="41">
        <f t="shared" si="30"/>
        <v>0</v>
      </c>
      <c r="I146" s="41">
        <f t="shared" si="30"/>
        <v>0</v>
      </c>
      <c r="J146" s="41">
        <f t="shared" si="30"/>
        <v>0</v>
      </c>
      <c r="K146" s="41">
        <f t="shared" si="30"/>
        <v>0</v>
      </c>
      <c r="L146" s="41">
        <f t="shared" si="30"/>
        <v>0</v>
      </c>
      <c r="M146" s="41">
        <f t="shared" si="30"/>
        <v>0</v>
      </c>
      <c r="N146" s="41">
        <f t="shared" si="30"/>
        <v>0</v>
      </c>
      <c r="O146" s="41">
        <f t="shared" si="30"/>
        <v>0</v>
      </c>
    </row>
    <row r="147" spans="1:15" ht="47.25" hidden="1">
      <c r="A147" s="25" t="s">
        <v>186</v>
      </c>
      <c r="B147" s="19"/>
      <c r="C147" s="19"/>
      <c r="D147" s="26" t="s">
        <v>23</v>
      </c>
      <c r="E147" s="41">
        <f>E148+E149+E150+E151+E152</f>
        <v>0</v>
      </c>
      <c r="F147" s="41">
        <f>F148+F149+F150+F151+F152</f>
        <v>0</v>
      </c>
      <c r="G147" s="41">
        <f>G148+G149+G150+G151+G152</f>
        <v>0</v>
      </c>
      <c r="H147" s="41">
        <f>I147+L147</f>
        <v>0</v>
      </c>
      <c r="I147" s="41">
        <f t="shared" ref="I147:N147" si="31">I148+I149+I150+I151+I152</f>
        <v>0</v>
      </c>
      <c r="J147" s="41">
        <f t="shared" si="31"/>
        <v>0</v>
      </c>
      <c r="K147" s="41">
        <f t="shared" si="31"/>
        <v>0</v>
      </c>
      <c r="L147" s="41">
        <f t="shared" si="31"/>
        <v>0</v>
      </c>
      <c r="M147" s="41">
        <f t="shared" si="31"/>
        <v>0</v>
      </c>
      <c r="N147" s="41">
        <f t="shared" si="31"/>
        <v>0</v>
      </c>
      <c r="O147" s="41">
        <f t="shared" ref="O147:O152" si="32">E147+H147</f>
        <v>0</v>
      </c>
    </row>
    <row r="148" spans="1:15" ht="47.25" hidden="1">
      <c r="A148" s="19" t="s">
        <v>187</v>
      </c>
      <c r="B148" s="19" t="s">
        <v>124</v>
      </c>
      <c r="C148" s="19" t="s">
        <v>32</v>
      </c>
      <c r="D148" s="18" t="s">
        <v>126</v>
      </c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>
        <f t="shared" si="32"/>
        <v>0</v>
      </c>
    </row>
    <row r="149" spans="1:15" ht="31.5" hidden="1">
      <c r="A149" s="19" t="s">
        <v>206</v>
      </c>
      <c r="B149" s="19" t="s">
        <v>41</v>
      </c>
      <c r="C149" s="19" t="s">
        <v>37</v>
      </c>
      <c r="D149" s="18" t="s">
        <v>207</v>
      </c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>
        <f t="shared" si="32"/>
        <v>0</v>
      </c>
    </row>
    <row r="150" spans="1:15" ht="15.75" hidden="1">
      <c r="A150" s="19" t="s">
        <v>212</v>
      </c>
      <c r="B150" s="19" t="s">
        <v>211</v>
      </c>
      <c r="C150" s="19" t="s">
        <v>115</v>
      </c>
      <c r="D150" s="18" t="s">
        <v>213</v>
      </c>
      <c r="E150" s="24"/>
      <c r="F150" s="24"/>
      <c r="G150" s="24"/>
      <c r="H150" s="24">
        <f>I150+L150</f>
        <v>0</v>
      </c>
      <c r="I150" s="24"/>
      <c r="J150" s="24"/>
      <c r="K150" s="24"/>
      <c r="L150" s="24"/>
      <c r="M150" s="24"/>
      <c r="N150" s="24"/>
      <c r="O150" s="24">
        <f t="shared" si="32"/>
        <v>0</v>
      </c>
    </row>
    <row r="151" spans="1:15" ht="31.5" hidden="1">
      <c r="A151" s="19" t="s">
        <v>294</v>
      </c>
      <c r="B151" s="19" t="s">
        <v>291</v>
      </c>
      <c r="C151" s="19" t="s">
        <v>58</v>
      </c>
      <c r="D151" s="18" t="s">
        <v>258</v>
      </c>
      <c r="E151" s="24"/>
      <c r="F151" s="24"/>
      <c r="G151" s="24"/>
      <c r="H151" s="24">
        <f>I151+L151</f>
        <v>0</v>
      </c>
      <c r="I151" s="24"/>
      <c r="J151" s="24"/>
      <c r="K151" s="24"/>
      <c r="L151" s="24"/>
      <c r="M151" s="24"/>
      <c r="N151" s="24"/>
      <c r="O151" s="24">
        <f t="shared" si="32"/>
        <v>0</v>
      </c>
    </row>
    <row r="152" spans="1:15" ht="31.5" hidden="1">
      <c r="A152" s="19" t="s">
        <v>209</v>
      </c>
      <c r="B152" s="19" t="s">
        <v>208</v>
      </c>
      <c r="C152" s="19" t="s">
        <v>58</v>
      </c>
      <c r="D152" s="18" t="s">
        <v>210</v>
      </c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>
        <f t="shared" si="32"/>
        <v>0</v>
      </c>
    </row>
    <row r="153" spans="1:15" s="16" customFormat="1" ht="51" customHeight="1">
      <c r="A153" s="25" t="s">
        <v>185</v>
      </c>
      <c r="B153" s="86"/>
      <c r="C153" s="86"/>
      <c r="D153" s="87" t="s">
        <v>385</v>
      </c>
      <c r="E153" s="88"/>
      <c r="F153" s="24"/>
      <c r="G153" s="24"/>
      <c r="H153" s="41">
        <f>I153+L153</f>
        <v>135</v>
      </c>
      <c r="I153" s="41"/>
      <c r="J153" s="41"/>
      <c r="K153" s="41"/>
      <c r="L153" s="41">
        <f t="shared" ref="L153:O154" si="33">L154</f>
        <v>135</v>
      </c>
      <c r="M153" s="41">
        <f t="shared" si="33"/>
        <v>135</v>
      </c>
      <c r="N153" s="41">
        <f t="shared" si="33"/>
        <v>135</v>
      </c>
      <c r="O153" s="41">
        <f t="shared" si="33"/>
        <v>135</v>
      </c>
    </row>
    <row r="154" spans="1:15" s="16" customFormat="1" ht="48" customHeight="1">
      <c r="A154" s="25" t="s">
        <v>186</v>
      </c>
      <c r="B154" s="86"/>
      <c r="C154" s="86"/>
      <c r="D154" s="87" t="s">
        <v>385</v>
      </c>
      <c r="E154" s="88"/>
      <c r="F154" s="24"/>
      <c r="G154" s="24"/>
      <c r="H154" s="41">
        <f>I154+L154</f>
        <v>135</v>
      </c>
      <c r="I154" s="41"/>
      <c r="J154" s="41"/>
      <c r="K154" s="41"/>
      <c r="L154" s="41">
        <f t="shared" si="33"/>
        <v>135</v>
      </c>
      <c r="M154" s="41">
        <f t="shared" si="33"/>
        <v>135</v>
      </c>
      <c r="N154" s="41">
        <f t="shared" si="33"/>
        <v>135</v>
      </c>
      <c r="O154" s="41">
        <f t="shared" si="33"/>
        <v>135</v>
      </c>
    </row>
    <row r="155" spans="1:15" s="16" customFormat="1" ht="31.5">
      <c r="A155" s="19" t="s">
        <v>294</v>
      </c>
      <c r="B155" s="89" t="s">
        <v>291</v>
      </c>
      <c r="C155" s="89" t="s">
        <v>58</v>
      </c>
      <c r="D155" s="90" t="s">
        <v>258</v>
      </c>
      <c r="E155" s="24"/>
      <c r="F155" s="24"/>
      <c r="G155" s="24"/>
      <c r="H155" s="24">
        <f>I155+L155</f>
        <v>135</v>
      </c>
      <c r="I155" s="24"/>
      <c r="J155" s="24"/>
      <c r="K155" s="24"/>
      <c r="L155" s="24">
        <v>135</v>
      </c>
      <c r="M155" s="24">
        <v>135</v>
      </c>
      <c r="N155" s="24">
        <v>135</v>
      </c>
      <c r="O155" s="24">
        <f>E155+H155</f>
        <v>135</v>
      </c>
    </row>
    <row r="156" spans="1:15" s="13" customFormat="1" ht="31.5">
      <c r="A156" s="25" t="s">
        <v>188</v>
      </c>
      <c r="B156" s="25"/>
      <c r="C156" s="25"/>
      <c r="D156" s="26" t="s">
        <v>16</v>
      </c>
      <c r="E156" s="41">
        <f>E157</f>
        <v>2489.8000000000002</v>
      </c>
      <c r="F156" s="41">
        <f t="shared" ref="F156:O156" si="34">F157</f>
        <v>0</v>
      </c>
      <c r="G156" s="41">
        <f t="shared" si="34"/>
        <v>0</v>
      </c>
      <c r="H156" s="41">
        <f t="shared" si="34"/>
        <v>-10728.8</v>
      </c>
      <c r="I156" s="41">
        <f t="shared" si="34"/>
        <v>0</v>
      </c>
      <c r="J156" s="41">
        <f t="shared" si="34"/>
        <v>0</v>
      </c>
      <c r="K156" s="41">
        <f t="shared" si="34"/>
        <v>0</v>
      </c>
      <c r="L156" s="41">
        <f t="shared" si="34"/>
        <v>-10728.8</v>
      </c>
      <c r="M156" s="41">
        <f t="shared" si="34"/>
        <v>-10728.8</v>
      </c>
      <c r="N156" s="41">
        <f t="shared" si="34"/>
        <v>-10728.8</v>
      </c>
      <c r="O156" s="41">
        <f t="shared" si="34"/>
        <v>-8239</v>
      </c>
    </row>
    <row r="157" spans="1:15" ht="34.5" customHeight="1">
      <c r="A157" s="25" t="s">
        <v>189</v>
      </c>
      <c r="B157" s="19"/>
      <c r="C157" s="19"/>
      <c r="D157" s="26" t="s">
        <v>16</v>
      </c>
      <c r="E157" s="41">
        <f>E158+E159+E160+E161+E162+E165</f>
        <v>2489.8000000000002</v>
      </c>
      <c r="F157" s="41">
        <f>F158+F159+F160+F161+F165</f>
        <v>0</v>
      </c>
      <c r="G157" s="41">
        <f>G158+G159+G160+G161+G165</f>
        <v>0</v>
      </c>
      <c r="H157" s="41">
        <f>I157+L157</f>
        <v>-10728.8</v>
      </c>
      <c r="I157" s="41">
        <f>I158+I159+I160+I161+I165</f>
        <v>0</v>
      </c>
      <c r="J157" s="41">
        <f>J158+J159+J160+J161+J165</f>
        <v>0</v>
      </c>
      <c r="K157" s="41">
        <f>K158+K159+K160+K161+K165</f>
        <v>0</v>
      </c>
      <c r="L157" s="41">
        <f>L158+L159+L160+L161+L165+L162</f>
        <v>-10728.8</v>
      </c>
      <c r="M157" s="41">
        <f>M158+M159+M160+M161+M165+M162</f>
        <v>-10728.8</v>
      </c>
      <c r="N157" s="41">
        <f>N158+N159+N160+N161+N165+N162</f>
        <v>-10728.8</v>
      </c>
      <c r="O157" s="41">
        <f t="shared" ref="O157:O162" si="35">E157+H157</f>
        <v>-8239</v>
      </c>
    </row>
    <row r="158" spans="1:15" ht="47.25" hidden="1">
      <c r="A158" s="19" t="s">
        <v>190</v>
      </c>
      <c r="B158" s="19" t="s">
        <v>124</v>
      </c>
      <c r="C158" s="19" t="s">
        <v>32</v>
      </c>
      <c r="D158" s="18" t="s">
        <v>126</v>
      </c>
      <c r="E158" s="24"/>
      <c r="F158" s="24"/>
      <c r="G158" s="24"/>
      <c r="H158" s="24">
        <f>I158+L158</f>
        <v>0</v>
      </c>
      <c r="I158" s="24"/>
      <c r="J158" s="24"/>
      <c r="K158" s="24"/>
      <c r="L158" s="24"/>
      <c r="M158" s="24"/>
      <c r="N158" s="24"/>
      <c r="O158" s="24">
        <f t="shared" si="35"/>
        <v>0</v>
      </c>
    </row>
    <row r="159" spans="1:15" ht="31.5">
      <c r="A159" s="19" t="s">
        <v>214</v>
      </c>
      <c r="B159" s="19" t="s">
        <v>41</v>
      </c>
      <c r="C159" s="19" t="s">
        <v>37</v>
      </c>
      <c r="D159" s="18" t="s">
        <v>207</v>
      </c>
      <c r="E159" s="24">
        <v>85</v>
      </c>
      <c r="F159" s="24"/>
      <c r="G159" s="24"/>
      <c r="H159" s="24">
        <f>I159+L159</f>
        <v>-14710.8</v>
      </c>
      <c r="I159" s="24"/>
      <c r="J159" s="24"/>
      <c r="K159" s="24"/>
      <c r="L159" s="24">
        <f>-11000-512-1500-135-120-313-767.5-363.3</f>
        <v>-14710.8</v>
      </c>
      <c r="M159" s="24">
        <f>-11000-512-1500-135-120-313-767.5-363.3</f>
        <v>-14710.8</v>
      </c>
      <c r="N159" s="24">
        <f>-11000-512-1500-135-120-313-767.5-363.3</f>
        <v>-14710.8</v>
      </c>
      <c r="O159" s="24">
        <f t="shared" si="35"/>
        <v>-14625.8</v>
      </c>
    </row>
    <row r="160" spans="1:15" ht="15.75" hidden="1">
      <c r="A160" s="19" t="s">
        <v>218</v>
      </c>
      <c r="B160" s="19" t="s">
        <v>217</v>
      </c>
      <c r="C160" s="19" t="s">
        <v>37</v>
      </c>
      <c r="D160" s="18" t="s">
        <v>12</v>
      </c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>
        <f t="shared" si="35"/>
        <v>0</v>
      </c>
    </row>
    <row r="161" spans="1:16" ht="15.75" hidden="1">
      <c r="A161" s="19" t="s">
        <v>216</v>
      </c>
      <c r="B161" s="19" t="s">
        <v>215</v>
      </c>
      <c r="C161" s="19" t="s">
        <v>41</v>
      </c>
      <c r="D161" s="18" t="s">
        <v>13</v>
      </c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>
        <f t="shared" si="35"/>
        <v>0</v>
      </c>
    </row>
    <row r="162" spans="1:16" ht="15.75">
      <c r="A162" s="19" t="s">
        <v>383</v>
      </c>
      <c r="B162" s="19" t="s">
        <v>381</v>
      </c>
      <c r="C162" s="19" t="s">
        <v>41</v>
      </c>
      <c r="D162" s="85" t="s">
        <v>382</v>
      </c>
      <c r="E162" s="24">
        <v>15</v>
      </c>
      <c r="F162" s="24"/>
      <c r="G162" s="24"/>
      <c r="H162" s="24">
        <f>L162</f>
        <v>313</v>
      </c>
      <c r="I162" s="24"/>
      <c r="J162" s="24"/>
      <c r="K162" s="24"/>
      <c r="L162" s="24">
        <f>L164</f>
        <v>313</v>
      </c>
      <c r="M162" s="24">
        <f>M164</f>
        <v>313</v>
      </c>
      <c r="N162" s="24">
        <f>N164</f>
        <v>313</v>
      </c>
      <c r="O162" s="24">
        <f t="shared" si="35"/>
        <v>328</v>
      </c>
    </row>
    <row r="163" spans="1:16" ht="15.75">
      <c r="A163" s="19"/>
      <c r="B163" s="19"/>
      <c r="C163" s="19"/>
      <c r="D163" s="83" t="s">
        <v>376</v>
      </c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</row>
    <row r="164" spans="1:16" ht="51" customHeight="1">
      <c r="A164" s="19"/>
      <c r="B164" s="19"/>
      <c r="C164" s="19"/>
      <c r="D164" s="82" t="s">
        <v>386</v>
      </c>
      <c r="E164" s="76">
        <v>15</v>
      </c>
      <c r="F164" s="76"/>
      <c r="G164" s="76"/>
      <c r="H164" s="76">
        <f>I164+L164</f>
        <v>313</v>
      </c>
      <c r="I164" s="76"/>
      <c r="J164" s="76"/>
      <c r="K164" s="76"/>
      <c r="L164" s="76">
        <v>313</v>
      </c>
      <c r="M164" s="76">
        <v>313</v>
      </c>
      <c r="N164" s="76">
        <v>313</v>
      </c>
      <c r="O164" s="76">
        <f>E164+H164</f>
        <v>328</v>
      </c>
    </row>
    <row r="165" spans="1:16" ht="47.25">
      <c r="A165" s="19" t="s">
        <v>347</v>
      </c>
      <c r="B165" s="19" t="s">
        <v>341</v>
      </c>
      <c r="C165" s="19" t="s">
        <v>41</v>
      </c>
      <c r="D165" s="18" t="s">
        <v>342</v>
      </c>
      <c r="E165" s="24">
        <f>E167+E168+E169</f>
        <v>2389.8000000000002</v>
      </c>
      <c r="F165" s="24"/>
      <c r="G165" s="24"/>
      <c r="H165" s="24">
        <f>I165+L165</f>
        <v>3669</v>
      </c>
      <c r="I165" s="24"/>
      <c r="J165" s="24"/>
      <c r="K165" s="24"/>
      <c r="L165" s="24">
        <f>L167+L168+L169</f>
        <v>3669</v>
      </c>
      <c r="M165" s="24">
        <f>M167+M168+M169</f>
        <v>3669</v>
      </c>
      <c r="N165" s="24">
        <f>N167+N168+N169</f>
        <v>3669</v>
      </c>
      <c r="O165" s="24">
        <f>E165+H165</f>
        <v>6058.8</v>
      </c>
    </row>
    <row r="166" spans="1:16" s="84" customFormat="1" ht="15.75">
      <c r="A166" s="35"/>
      <c r="B166" s="35"/>
      <c r="C166" s="35"/>
      <c r="D166" s="83" t="s">
        <v>376</v>
      </c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</row>
    <row r="167" spans="1:16" ht="72" customHeight="1">
      <c r="A167" s="19"/>
      <c r="B167" s="19"/>
      <c r="C167" s="19"/>
      <c r="D167" s="81" t="s">
        <v>374</v>
      </c>
      <c r="E167" s="76">
        <v>1238.8</v>
      </c>
      <c r="F167" s="76"/>
      <c r="G167" s="76"/>
      <c r="H167" s="76">
        <f>I167+L167</f>
        <v>1630</v>
      </c>
      <c r="I167" s="76"/>
      <c r="J167" s="76"/>
      <c r="K167" s="76"/>
      <c r="L167" s="76">
        <v>1630</v>
      </c>
      <c r="M167" s="76">
        <v>1630</v>
      </c>
      <c r="N167" s="76">
        <v>1630</v>
      </c>
      <c r="O167" s="76">
        <f>E167+H167</f>
        <v>2868.8</v>
      </c>
    </row>
    <row r="168" spans="1:16" ht="37.5" customHeight="1">
      <c r="A168" s="19"/>
      <c r="B168" s="19"/>
      <c r="C168" s="19"/>
      <c r="D168" s="82" t="s">
        <v>375</v>
      </c>
      <c r="E168" s="76">
        <v>850</v>
      </c>
      <c r="F168" s="76"/>
      <c r="G168" s="76"/>
      <c r="H168" s="76">
        <f>I168+L168</f>
        <v>1700</v>
      </c>
      <c r="I168" s="76"/>
      <c r="J168" s="76"/>
      <c r="K168" s="76"/>
      <c r="L168" s="76">
        <v>1700</v>
      </c>
      <c r="M168" s="76">
        <v>1700</v>
      </c>
      <c r="N168" s="76">
        <v>1700</v>
      </c>
      <c r="O168" s="76">
        <f>E168+H168</f>
        <v>2550</v>
      </c>
    </row>
    <row r="169" spans="1:16" ht="77.25" customHeight="1">
      <c r="A169" s="19"/>
      <c r="B169" s="19"/>
      <c r="C169" s="19"/>
      <c r="D169" s="82" t="s">
        <v>384</v>
      </c>
      <c r="E169" s="76">
        <v>301</v>
      </c>
      <c r="F169" s="76"/>
      <c r="G169" s="76"/>
      <c r="H169" s="76">
        <f>I169+L169</f>
        <v>339</v>
      </c>
      <c r="I169" s="76"/>
      <c r="J169" s="76"/>
      <c r="K169" s="76"/>
      <c r="L169" s="76">
        <v>339</v>
      </c>
      <c r="M169" s="76">
        <v>339</v>
      </c>
      <c r="N169" s="76">
        <v>339</v>
      </c>
      <c r="O169" s="76">
        <f>E169+H169</f>
        <v>640</v>
      </c>
    </row>
    <row r="170" spans="1:16" ht="15.75">
      <c r="A170" s="19"/>
      <c r="B170" s="19"/>
      <c r="C170" s="19"/>
      <c r="D170" s="40" t="s">
        <v>11</v>
      </c>
      <c r="E170" s="41">
        <f>E11+E33+E37+E41+E45+E66+E92+E97+E106+E115+E134+E141+E146+E156</f>
        <v>15052.279999999999</v>
      </c>
      <c r="F170" s="41">
        <f>F11+F33+F37+F41+F45+F66+F92+F97+F106+F115+F134+F141+F146+F156</f>
        <v>0</v>
      </c>
      <c r="G170" s="41">
        <f>G11+G33+G37+G41+G45+G66+G92+G97+G106+G115+G134+G141+G146+G156</f>
        <v>0</v>
      </c>
      <c r="H170" s="41">
        <f>I170+L170</f>
        <v>23544.036360000002</v>
      </c>
      <c r="I170" s="41">
        <f>I11+I33+I37+I41+I45+I66+I92+I97+I106+I115+I134+I141+I146+I156</f>
        <v>-50</v>
      </c>
      <c r="J170" s="41">
        <f>J11+J33+J37+J41+J45+J66+J92+J97+J106+J115+J134+J141+J146+J156</f>
        <v>0</v>
      </c>
      <c r="K170" s="41">
        <f>K11+K33+K37+K41+K45+K66+K92+K97+K106+K115+K134+K141+K146+K156</f>
        <v>0</v>
      </c>
      <c r="L170" s="41">
        <f>L11+L33+L37+L41+L45+L66+L92+L97+L106+L115+L134+L141+L146+L156+L153</f>
        <v>23594.036360000002</v>
      </c>
      <c r="M170" s="41">
        <f>M11+M33+M37+M41+M45+M66+M92+M97+M106+M115+M134+M141+M146+M156+M153</f>
        <v>12360.552380000001</v>
      </c>
      <c r="N170" s="41">
        <f>N11+N33+N37+N41+N45+N66+N92+N97+N106+N115+N134+N141+N146+N156+N153</f>
        <v>12360.552380000001</v>
      </c>
      <c r="O170" s="41">
        <f>E170+H170</f>
        <v>38596.316359999997</v>
      </c>
      <c r="P170" s="34"/>
    </row>
    <row r="171" spans="1:16" ht="15.75">
      <c r="A171" s="42"/>
      <c r="B171" s="42"/>
      <c r="C171" s="42"/>
      <c r="D171" s="43"/>
      <c r="E171" s="43"/>
      <c r="F171" s="43"/>
      <c r="G171" s="43"/>
      <c r="H171" s="16"/>
      <c r="I171" s="16"/>
      <c r="J171" s="44"/>
      <c r="K171" s="44"/>
      <c r="L171" s="44"/>
      <c r="M171" s="44"/>
      <c r="N171" s="44"/>
      <c r="O171" s="44"/>
    </row>
    <row r="172" spans="1:16" s="22" customFormat="1" ht="18.75">
      <c r="A172" s="42"/>
      <c r="B172" s="42"/>
      <c r="C172" s="42"/>
      <c r="D172" s="29" t="s">
        <v>108</v>
      </c>
      <c r="E172" s="45"/>
      <c r="F172" s="29"/>
      <c r="G172" s="29"/>
      <c r="H172" s="29"/>
      <c r="I172" s="29"/>
      <c r="J172" s="29"/>
      <c r="K172" s="29"/>
      <c r="L172" s="29" t="s">
        <v>109</v>
      </c>
      <c r="M172" s="29"/>
      <c r="N172" s="29"/>
      <c r="O172" s="29"/>
    </row>
    <row r="173" spans="1:16" s="2" customFormat="1">
      <c r="A173" s="6"/>
      <c r="B173" s="6"/>
      <c r="C173" s="6"/>
      <c r="D173" s="32"/>
      <c r="E173" s="17"/>
      <c r="K173" s="32"/>
    </row>
    <row r="174" spans="1:16">
      <c r="H174" s="14"/>
      <c r="I174" s="14"/>
      <c r="J174" s="14"/>
      <c r="K174" s="14"/>
      <c r="L174" s="14"/>
      <c r="M174" s="14"/>
      <c r="N174" s="14"/>
      <c r="O174" s="14"/>
    </row>
    <row r="175" spans="1:16">
      <c r="H175" s="14"/>
      <c r="I175" s="14"/>
      <c r="J175" s="14"/>
      <c r="K175" s="14"/>
      <c r="L175" s="14"/>
      <c r="M175" s="14"/>
      <c r="N175" s="14"/>
      <c r="O175" s="14"/>
    </row>
  </sheetData>
  <mergeCells count="20">
    <mergeCell ref="J7:K7"/>
    <mergeCell ref="I7:I9"/>
    <mergeCell ref="H7:H9"/>
    <mergeCell ref="L7:L9"/>
    <mergeCell ref="M7:N7"/>
    <mergeCell ref="K8:K9"/>
    <mergeCell ref="J8:J9"/>
    <mergeCell ref="O6:O9"/>
    <mergeCell ref="A4:O4"/>
    <mergeCell ref="B6:B9"/>
    <mergeCell ref="C6:C9"/>
    <mergeCell ref="A6:A9"/>
    <mergeCell ref="H6:N6"/>
    <mergeCell ref="E7:E9"/>
    <mergeCell ref="F7:G7"/>
    <mergeCell ref="E6:G6"/>
    <mergeCell ref="G8:G9"/>
    <mergeCell ref="D6:D9"/>
    <mergeCell ref="M8:M9"/>
    <mergeCell ref="F8:F9"/>
  </mergeCells>
  <phoneticPr fontId="0" type="noConversion"/>
  <printOptions horizontalCentered="1"/>
  <pageMargins left="0.15748031496062992" right="0.15748031496062992" top="0.27559055118110237" bottom="0.15748031496062992" header="0.23622047244094491" footer="0.15748031496062992"/>
  <pageSetup paperSize="9" scale="56" fitToHeight="26" orientation="landscape" r:id="rId1"/>
  <rowBreaks count="2" manualBreakCount="2">
    <brk id="48" max="16383" man="1"/>
    <brk id="15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172"/>
  <sheetViews>
    <sheetView zoomScale="80" zoomScaleNormal="80" workbookViewId="0">
      <selection activeCell="A4" sqref="A4:XFD4"/>
    </sheetView>
  </sheetViews>
  <sheetFormatPr defaultRowHeight="1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4" style="4" customWidth="1"/>
    <col min="13" max="13" width="16.28515625" style="4" customWidth="1"/>
    <col min="14" max="14" width="15.7109375" style="4" customWidth="1"/>
    <col min="15" max="15" width="15.85546875" style="4" customWidth="1"/>
    <col min="16" max="16" width="11" style="4" bestFit="1" customWidth="1"/>
    <col min="17" max="17" width="12" style="4" bestFit="1" customWidth="1"/>
    <col min="18" max="16384" width="9.140625" style="4"/>
  </cols>
  <sheetData>
    <row r="1" spans="1:16">
      <c r="A1" s="93" t="s">
        <v>391</v>
      </c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>
      <c r="A2" s="93" t="s">
        <v>392</v>
      </c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 ht="20.25">
      <c r="A4" s="138" t="s">
        <v>356</v>
      </c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</row>
    <row r="5" spans="1:16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6">
      <c r="A6" s="140" t="s">
        <v>28</v>
      </c>
      <c r="B6" s="140" t="s">
        <v>29</v>
      </c>
      <c r="C6" s="143" t="s">
        <v>357</v>
      </c>
      <c r="D6" s="144" t="s">
        <v>31</v>
      </c>
      <c r="E6" s="145" t="s">
        <v>1</v>
      </c>
      <c r="F6" s="145"/>
      <c r="G6" s="145"/>
      <c r="H6" s="145" t="s">
        <v>6</v>
      </c>
      <c r="I6" s="145"/>
      <c r="J6" s="145"/>
      <c r="K6" s="145"/>
      <c r="L6" s="145"/>
      <c r="M6" s="145"/>
      <c r="N6" s="145"/>
      <c r="O6" s="145" t="s">
        <v>11</v>
      </c>
    </row>
    <row r="7" spans="1:16">
      <c r="A7" s="141"/>
      <c r="B7" s="141"/>
      <c r="C7" s="143"/>
      <c r="D7" s="144"/>
      <c r="E7" s="145" t="s">
        <v>2</v>
      </c>
      <c r="F7" s="145" t="s">
        <v>3</v>
      </c>
      <c r="G7" s="145"/>
      <c r="H7" s="145" t="s">
        <v>2</v>
      </c>
      <c r="I7" s="145" t="s">
        <v>7</v>
      </c>
      <c r="J7" s="145" t="s">
        <v>3</v>
      </c>
      <c r="K7" s="145"/>
      <c r="L7" s="145" t="s">
        <v>8</v>
      </c>
      <c r="M7" s="145" t="s">
        <v>3</v>
      </c>
      <c r="N7" s="145"/>
      <c r="O7" s="145"/>
    </row>
    <row r="8" spans="1:16">
      <c r="A8" s="141"/>
      <c r="B8" s="141"/>
      <c r="C8" s="143"/>
      <c r="D8" s="144"/>
      <c r="E8" s="145"/>
      <c r="F8" s="145" t="s">
        <v>4</v>
      </c>
      <c r="G8" s="145" t="s">
        <v>5</v>
      </c>
      <c r="H8" s="145"/>
      <c r="I8" s="145"/>
      <c r="J8" s="145" t="s">
        <v>4</v>
      </c>
      <c r="K8" s="145" t="s">
        <v>5</v>
      </c>
      <c r="L8" s="145"/>
      <c r="M8" s="145" t="s">
        <v>9</v>
      </c>
      <c r="N8" s="92" t="s">
        <v>3</v>
      </c>
      <c r="O8" s="145"/>
    </row>
    <row r="9" spans="1:16" ht="63">
      <c r="A9" s="142"/>
      <c r="B9" s="142"/>
      <c r="C9" s="143"/>
      <c r="D9" s="144"/>
      <c r="E9" s="145"/>
      <c r="F9" s="145"/>
      <c r="G9" s="145"/>
      <c r="H9" s="145"/>
      <c r="I9" s="145"/>
      <c r="J9" s="145"/>
      <c r="K9" s="145"/>
      <c r="L9" s="145"/>
      <c r="M9" s="145"/>
      <c r="N9" s="9" t="s">
        <v>10</v>
      </c>
      <c r="O9" s="145"/>
    </row>
    <row r="10" spans="1:16">
      <c r="A10" s="10">
        <v>1</v>
      </c>
      <c r="B10" s="10">
        <v>2</v>
      </c>
      <c r="C10" s="10">
        <v>3</v>
      </c>
      <c r="D10" s="92">
        <v>4</v>
      </c>
      <c r="E10" s="92">
        <v>5</v>
      </c>
      <c r="F10" s="92">
        <v>6</v>
      </c>
      <c r="G10" s="92">
        <v>7</v>
      </c>
      <c r="H10" s="92">
        <v>8</v>
      </c>
      <c r="I10" s="92">
        <v>9</v>
      </c>
      <c r="J10" s="92">
        <v>10</v>
      </c>
      <c r="K10" s="92">
        <v>11</v>
      </c>
      <c r="L10" s="92">
        <v>12</v>
      </c>
      <c r="M10" s="92">
        <v>13</v>
      </c>
      <c r="N10" s="92">
        <v>14</v>
      </c>
      <c r="O10" s="92" t="s">
        <v>30</v>
      </c>
    </row>
    <row r="11" spans="1:16" s="95" customFormat="1" ht="31.5">
      <c r="A11" s="25" t="s">
        <v>137</v>
      </c>
      <c r="B11" s="25"/>
      <c r="C11" s="25"/>
      <c r="D11" s="26" t="s">
        <v>25</v>
      </c>
      <c r="E11" s="94">
        <f>E12</f>
        <v>135486.79999999999</v>
      </c>
      <c r="F11" s="94">
        <f t="shared" ref="F11:N11" si="0">F12</f>
        <v>20424</v>
      </c>
      <c r="G11" s="94">
        <f t="shared" si="0"/>
        <v>2029.7</v>
      </c>
      <c r="H11" s="94">
        <f t="shared" si="0"/>
        <v>19940.987860000001</v>
      </c>
      <c r="I11" s="94">
        <f t="shared" si="0"/>
        <v>8729.6</v>
      </c>
      <c r="J11" s="94">
        <f t="shared" si="0"/>
        <v>0</v>
      </c>
      <c r="K11" s="94">
        <f t="shared" si="0"/>
        <v>0</v>
      </c>
      <c r="L11" s="94">
        <f t="shared" si="0"/>
        <v>11211.387859999999</v>
      </c>
      <c r="M11" s="94">
        <f t="shared" si="0"/>
        <v>11191.387859999999</v>
      </c>
      <c r="N11" s="94">
        <f t="shared" si="0"/>
        <v>11191.387859999999</v>
      </c>
      <c r="O11" s="21">
        <f t="shared" ref="O11:O22" si="1">E11+H11</f>
        <v>155427.78785999998</v>
      </c>
    </row>
    <row r="12" spans="1:16" s="16" customFormat="1" ht="31.5">
      <c r="A12" s="25" t="s">
        <v>138</v>
      </c>
      <c r="B12" s="19"/>
      <c r="C12" s="19"/>
      <c r="D12" s="26" t="s">
        <v>25</v>
      </c>
      <c r="E12" s="21">
        <f>E13+E14+E15+E16+E22+E23+E24+E25+E26+E27+E28+E29+E30+E32+E33+E31</f>
        <v>135486.79999999999</v>
      </c>
      <c r="F12" s="21">
        <f t="shared" ref="F12:N12" si="2">F13+F14+F15+F16+F22+F23+F24+F25+F26+F27+F28+F29+F30+F32+F33+F31</f>
        <v>20424</v>
      </c>
      <c r="G12" s="21">
        <f t="shared" si="2"/>
        <v>2029.7</v>
      </c>
      <c r="H12" s="21">
        <f t="shared" si="2"/>
        <v>19940.987860000001</v>
      </c>
      <c r="I12" s="21">
        <f t="shared" si="2"/>
        <v>8729.6</v>
      </c>
      <c r="J12" s="21">
        <f t="shared" si="2"/>
        <v>0</v>
      </c>
      <c r="K12" s="21">
        <f t="shared" si="2"/>
        <v>0</v>
      </c>
      <c r="L12" s="21">
        <f t="shared" si="2"/>
        <v>11211.387859999999</v>
      </c>
      <c r="M12" s="21">
        <f t="shared" si="2"/>
        <v>11191.387859999999</v>
      </c>
      <c r="N12" s="21">
        <f t="shared" si="2"/>
        <v>11191.387859999999</v>
      </c>
      <c r="O12" s="21">
        <f t="shared" si="1"/>
        <v>155427.78785999998</v>
      </c>
    </row>
    <row r="13" spans="1:16" s="29" customFormat="1" ht="78.75">
      <c r="A13" s="19" t="s">
        <v>139</v>
      </c>
      <c r="B13" s="19" t="s">
        <v>117</v>
      </c>
      <c r="C13" s="19" t="s">
        <v>32</v>
      </c>
      <c r="D13" s="18" t="s">
        <v>118</v>
      </c>
      <c r="E13" s="20">
        <f>25114.2-25</f>
        <v>25089.200000000001</v>
      </c>
      <c r="F13" s="20">
        <f>16741+3683</f>
        <v>20424</v>
      </c>
      <c r="G13" s="20">
        <f>2029.7</f>
        <v>2029.7</v>
      </c>
      <c r="H13" s="20">
        <f>I13+L13</f>
        <v>2325</v>
      </c>
      <c r="I13" s="20">
        <f>121+24</f>
        <v>145</v>
      </c>
      <c r="J13" s="20"/>
      <c r="K13" s="20"/>
      <c r="L13" s="20">
        <f>1180+500+500</f>
        <v>2180</v>
      </c>
      <c r="M13" s="20">
        <v>2180</v>
      </c>
      <c r="N13" s="20">
        <v>2180</v>
      </c>
      <c r="O13" s="20">
        <f t="shared" si="1"/>
        <v>27414.2</v>
      </c>
      <c r="P13" s="51"/>
    </row>
    <row r="14" spans="1:16" s="29" customFormat="1" ht="47.25">
      <c r="A14" s="19" t="s">
        <v>237</v>
      </c>
      <c r="B14" s="19" t="s">
        <v>238</v>
      </c>
      <c r="C14" s="19" t="s">
        <v>239</v>
      </c>
      <c r="D14" s="18" t="s">
        <v>240</v>
      </c>
      <c r="E14" s="20">
        <v>25</v>
      </c>
      <c r="F14" s="20"/>
      <c r="G14" s="20"/>
      <c r="H14" s="20"/>
      <c r="I14" s="20"/>
      <c r="J14" s="20"/>
      <c r="K14" s="20"/>
      <c r="L14" s="20"/>
      <c r="M14" s="20"/>
      <c r="N14" s="20"/>
      <c r="O14" s="20">
        <f t="shared" si="1"/>
        <v>25</v>
      </c>
      <c r="P14" s="51"/>
    </row>
    <row r="15" spans="1:16" s="29" customFormat="1" ht="31.5">
      <c r="A15" s="19" t="s">
        <v>247</v>
      </c>
      <c r="B15" s="19" t="s">
        <v>41</v>
      </c>
      <c r="C15" s="19" t="s">
        <v>37</v>
      </c>
      <c r="D15" s="23" t="s">
        <v>248</v>
      </c>
      <c r="E15" s="20">
        <f>1550.5+186</f>
        <v>1736.5</v>
      </c>
      <c r="F15" s="20"/>
      <c r="G15" s="20"/>
      <c r="H15" s="20"/>
      <c r="I15" s="20"/>
      <c r="J15" s="20"/>
      <c r="K15" s="20"/>
      <c r="L15" s="20"/>
      <c r="M15" s="20"/>
      <c r="N15" s="20"/>
      <c r="O15" s="20">
        <f t="shared" si="1"/>
        <v>1736.5</v>
      </c>
      <c r="P15" s="51"/>
    </row>
    <row r="16" spans="1:16" s="29" customFormat="1" ht="31.5">
      <c r="A16" s="19" t="s">
        <v>140</v>
      </c>
      <c r="B16" s="19" t="s">
        <v>69</v>
      </c>
      <c r="C16" s="19" t="s">
        <v>70</v>
      </c>
      <c r="D16" s="12" t="s">
        <v>358</v>
      </c>
      <c r="E16" s="20">
        <f>80731.6+3812.4</f>
        <v>84544</v>
      </c>
      <c r="F16" s="20"/>
      <c r="G16" s="20"/>
      <c r="H16" s="20">
        <f>I16+L16</f>
        <v>12847.58786</v>
      </c>
      <c r="I16" s="24">
        <v>4345.6000000000004</v>
      </c>
      <c r="J16" s="20"/>
      <c r="K16" s="20"/>
      <c r="L16" s="20">
        <f>20+5000+1500+500+1481.98786</f>
        <v>8501.9878599999993</v>
      </c>
      <c r="M16" s="20">
        <f>5000+1500+500+1481.98786</f>
        <v>8481.9878599999993</v>
      </c>
      <c r="N16" s="20">
        <f>5000+1500+500+1481.98786</f>
        <v>8481.9878599999993</v>
      </c>
      <c r="O16" s="20">
        <f t="shared" si="1"/>
        <v>97391.58786</v>
      </c>
      <c r="P16" s="51"/>
    </row>
    <row r="17" spans="1:16" s="37" customFormat="1" ht="81.75">
      <c r="B17" s="35"/>
      <c r="C17" s="35"/>
      <c r="D17" s="36" t="s">
        <v>393</v>
      </c>
      <c r="E17" s="80"/>
      <c r="F17" s="80"/>
      <c r="G17" s="80"/>
      <c r="H17" s="80">
        <f>I17+L17</f>
        <v>1331.5615</v>
      </c>
      <c r="I17" s="80"/>
      <c r="J17" s="80"/>
      <c r="K17" s="80"/>
      <c r="L17" s="80">
        <v>1331.5615</v>
      </c>
      <c r="M17" s="80">
        <v>1331.5615</v>
      </c>
      <c r="N17" s="80">
        <v>1331.5615</v>
      </c>
      <c r="O17" s="80">
        <f t="shared" si="1"/>
        <v>1331.5615</v>
      </c>
    </row>
    <row r="18" spans="1:16" s="37" customFormat="1" ht="31.5">
      <c r="A18" s="35"/>
      <c r="B18" s="35"/>
      <c r="C18" s="35"/>
      <c r="D18" s="36" t="s">
        <v>377</v>
      </c>
      <c r="E18" s="76">
        <f>E20+E21</f>
        <v>58285.8</v>
      </c>
      <c r="F18" s="76"/>
      <c r="G18" s="76"/>
      <c r="H18" s="76">
        <f>I18+L18</f>
        <v>0</v>
      </c>
      <c r="I18" s="76"/>
      <c r="J18" s="76"/>
      <c r="K18" s="76"/>
      <c r="L18" s="76"/>
      <c r="M18" s="76"/>
      <c r="N18" s="76"/>
      <c r="O18" s="76">
        <f t="shared" si="1"/>
        <v>58285.8</v>
      </c>
    </row>
    <row r="19" spans="1:16" s="37" customFormat="1" ht="15.75">
      <c r="A19" s="35"/>
      <c r="B19" s="35"/>
      <c r="C19" s="35"/>
      <c r="D19" s="36" t="s">
        <v>378</v>
      </c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</row>
    <row r="20" spans="1:16" s="37" customFormat="1" ht="15.75">
      <c r="A20" s="35"/>
      <c r="B20" s="35"/>
      <c r="C20" s="35"/>
      <c r="D20" s="36" t="s">
        <v>345</v>
      </c>
      <c r="E20" s="76">
        <f>9753.2</f>
        <v>9753.2000000000007</v>
      </c>
      <c r="F20" s="76"/>
      <c r="G20" s="76"/>
      <c r="H20" s="76">
        <f>I20+L20</f>
        <v>0</v>
      </c>
      <c r="I20" s="76"/>
      <c r="J20" s="76"/>
      <c r="K20" s="76"/>
      <c r="L20" s="76"/>
      <c r="M20" s="76"/>
      <c r="N20" s="76"/>
      <c r="O20" s="76">
        <f t="shared" si="1"/>
        <v>9753.2000000000007</v>
      </c>
    </row>
    <row r="21" spans="1:16" s="37" customFormat="1" ht="15.75">
      <c r="A21" s="35"/>
      <c r="B21" s="35"/>
      <c r="C21" s="35"/>
      <c r="D21" s="36" t="s">
        <v>346</v>
      </c>
      <c r="E21" s="76">
        <v>48532.6</v>
      </c>
      <c r="F21" s="76"/>
      <c r="G21" s="76"/>
      <c r="H21" s="76">
        <f>I21+L21</f>
        <v>0</v>
      </c>
      <c r="I21" s="76"/>
      <c r="J21" s="76"/>
      <c r="K21" s="76"/>
      <c r="L21" s="76"/>
      <c r="M21" s="76"/>
      <c r="N21" s="76"/>
      <c r="O21" s="76">
        <f t="shared" si="1"/>
        <v>48532.6</v>
      </c>
    </row>
    <row r="22" spans="1:16" s="29" customFormat="1" ht="15.75">
      <c r="A22" s="19" t="s">
        <v>141</v>
      </c>
      <c r="B22" s="19" t="s">
        <v>119</v>
      </c>
      <c r="C22" s="19" t="s">
        <v>71</v>
      </c>
      <c r="D22" s="12" t="s">
        <v>120</v>
      </c>
      <c r="E22" s="20">
        <v>9640.7000000000007</v>
      </c>
      <c r="F22" s="20"/>
      <c r="G22" s="20"/>
      <c r="H22" s="20">
        <f>I22+L22</f>
        <v>4279</v>
      </c>
      <c r="I22" s="20">
        <v>3759</v>
      </c>
      <c r="J22" s="20"/>
      <c r="K22" s="20"/>
      <c r="L22" s="20">
        <v>520</v>
      </c>
      <c r="M22" s="20">
        <v>520</v>
      </c>
      <c r="N22" s="20">
        <v>520</v>
      </c>
      <c r="O22" s="20">
        <f t="shared" si="1"/>
        <v>13919.7</v>
      </c>
      <c r="P22" s="51"/>
    </row>
    <row r="23" spans="1:16" s="29" customFormat="1" ht="31.5">
      <c r="A23" s="19" t="s">
        <v>281</v>
      </c>
      <c r="B23" s="19" t="s">
        <v>276</v>
      </c>
      <c r="C23" s="19" t="s">
        <v>277</v>
      </c>
      <c r="D23" s="12" t="s">
        <v>278</v>
      </c>
      <c r="E23" s="20">
        <v>1676.2</v>
      </c>
      <c r="F23" s="20"/>
      <c r="G23" s="20"/>
      <c r="H23" s="24"/>
      <c r="I23" s="24"/>
      <c r="J23" s="24"/>
      <c r="K23" s="24"/>
      <c r="L23" s="24"/>
      <c r="M23" s="24"/>
      <c r="N23" s="24"/>
      <c r="O23" s="20">
        <f>E23+H23</f>
        <v>1676.2</v>
      </c>
      <c r="P23" s="51"/>
    </row>
    <row r="24" spans="1:16" s="29" customFormat="1" ht="31.5">
      <c r="A24" s="19" t="s">
        <v>282</v>
      </c>
      <c r="B24" s="19" t="s">
        <v>279</v>
      </c>
      <c r="C24" s="19" t="s">
        <v>277</v>
      </c>
      <c r="D24" s="12" t="s">
        <v>280</v>
      </c>
      <c r="E24" s="20">
        <v>1647.3</v>
      </c>
      <c r="F24" s="20"/>
      <c r="G24" s="20"/>
      <c r="H24" s="24"/>
      <c r="I24" s="24"/>
      <c r="J24" s="24"/>
      <c r="K24" s="24"/>
      <c r="L24" s="24"/>
      <c r="M24" s="24"/>
      <c r="N24" s="24"/>
      <c r="O24" s="20">
        <f>E24+H24</f>
        <v>1647.3</v>
      </c>
      <c r="P24" s="51"/>
    </row>
    <row r="25" spans="1:16" s="29" customFormat="1" ht="31.5">
      <c r="A25" s="19" t="s">
        <v>320</v>
      </c>
      <c r="B25" s="19" t="s">
        <v>318</v>
      </c>
      <c r="C25" s="19" t="s">
        <v>33</v>
      </c>
      <c r="D25" s="18" t="s">
        <v>319</v>
      </c>
      <c r="E25" s="20">
        <v>2946.7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ref="O25:O93" si="3">E25+H25</f>
        <v>2946.7</v>
      </c>
    </row>
    <row r="26" spans="1:16" s="29" customFormat="1" ht="31.5">
      <c r="A26" s="19" t="s">
        <v>343</v>
      </c>
      <c r="B26" s="19" t="s">
        <v>263</v>
      </c>
      <c r="C26" s="19" t="s">
        <v>265</v>
      </c>
      <c r="D26" s="18" t="s">
        <v>266</v>
      </c>
      <c r="E26" s="24">
        <v>750</v>
      </c>
      <c r="F26" s="24"/>
      <c r="G26" s="24"/>
      <c r="H26" s="24">
        <f>I26+L26</f>
        <v>9.4</v>
      </c>
      <c r="I26" s="24"/>
      <c r="J26" s="24"/>
      <c r="K26" s="24"/>
      <c r="L26" s="24">
        <v>9.4</v>
      </c>
      <c r="M26" s="24">
        <v>9.4</v>
      </c>
      <c r="N26" s="24">
        <v>9.4</v>
      </c>
      <c r="O26" s="24">
        <f t="shared" si="3"/>
        <v>759.4</v>
      </c>
    </row>
    <row r="27" spans="1:16" s="29" customFormat="1" ht="31.5">
      <c r="A27" s="19" t="s">
        <v>245</v>
      </c>
      <c r="B27" s="19" t="s">
        <v>244</v>
      </c>
      <c r="C27" s="19" t="s">
        <v>35</v>
      </c>
      <c r="D27" s="18" t="s">
        <v>246</v>
      </c>
      <c r="E27" s="20">
        <f>300+500</f>
        <v>800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800</v>
      </c>
    </row>
    <row r="28" spans="1:16" s="29" customFormat="1" ht="15.75">
      <c r="A28" s="19" t="s">
        <v>197</v>
      </c>
      <c r="B28" s="19" t="s">
        <v>196</v>
      </c>
      <c r="C28" s="19" t="s">
        <v>38</v>
      </c>
      <c r="D28" s="12" t="s">
        <v>39</v>
      </c>
      <c r="E28" s="20">
        <v>200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200</v>
      </c>
    </row>
    <row r="29" spans="1:16" s="29" customFormat="1" ht="31.5">
      <c r="A29" s="19" t="s">
        <v>242</v>
      </c>
      <c r="B29" s="19" t="s">
        <v>241</v>
      </c>
      <c r="C29" s="19" t="s">
        <v>58</v>
      </c>
      <c r="D29" s="12" t="s">
        <v>243</v>
      </c>
      <c r="E29" s="20">
        <v>40</v>
      </c>
      <c r="F29" s="20"/>
      <c r="G29" s="20"/>
      <c r="H29" s="20"/>
      <c r="I29" s="20"/>
      <c r="J29" s="20"/>
      <c r="K29" s="20"/>
      <c r="L29" s="20"/>
      <c r="M29" s="20"/>
      <c r="N29" s="20"/>
      <c r="O29" s="20">
        <f t="shared" si="3"/>
        <v>40</v>
      </c>
    </row>
    <row r="30" spans="1:16" s="29" customFormat="1" ht="31.5">
      <c r="A30" s="19" t="s">
        <v>297</v>
      </c>
      <c r="B30" s="19" t="s">
        <v>296</v>
      </c>
      <c r="C30" s="19" t="s">
        <v>58</v>
      </c>
      <c r="D30" s="18" t="s">
        <v>298</v>
      </c>
      <c r="E30" s="20">
        <v>3341.7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3341.7</v>
      </c>
    </row>
    <row r="31" spans="1:16" s="29" customFormat="1" ht="47.25">
      <c r="A31" s="19" t="s">
        <v>195</v>
      </c>
      <c r="B31" s="19" t="s">
        <v>194</v>
      </c>
      <c r="C31" s="19" t="s">
        <v>36</v>
      </c>
      <c r="D31" s="12" t="s">
        <v>299</v>
      </c>
      <c r="E31" s="20">
        <v>237.5</v>
      </c>
      <c r="F31" s="20"/>
      <c r="G31" s="20"/>
      <c r="H31" s="20"/>
      <c r="I31" s="20"/>
      <c r="J31" s="20"/>
      <c r="K31" s="20"/>
      <c r="L31" s="20"/>
      <c r="M31" s="20"/>
      <c r="N31" s="20"/>
      <c r="O31" s="20">
        <f t="shared" si="3"/>
        <v>237.5</v>
      </c>
    </row>
    <row r="32" spans="1:16" s="29" customFormat="1" ht="31.5">
      <c r="A32" s="19" t="s">
        <v>275</v>
      </c>
      <c r="B32" s="19" t="s">
        <v>274</v>
      </c>
      <c r="C32" s="19" t="s">
        <v>101</v>
      </c>
      <c r="D32" s="18" t="s">
        <v>295</v>
      </c>
      <c r="E32" s="20"/>
      <c r="F32" s="20"/>
      <c r="G32" s="20"/>
      <c r="H32" s="20">
        <f>I32+L32</f>
        <v>480</v>
      </c>
      <c r="I32" s="20">
        <f>60+20+50+90+70+190</f>
        <v>480</v>
      </c>
      <c r="J32" s="20"/>
      <c r="K32" s="20"/>
      <c r="L32" s="20"/>
      <c r="M32" s="20"/>
      <c r="N32" s="20"/>
      <c r="O32" s="20">
        <f t="shared" si="3"/>
        <v>480</v>
      </c>
    </row>
    <row r="33" spans="1:15" s="29" customFormat="1" ht="31.5">
      <c r="A33" s="19" t="s">
        <v>192</v>
      </c>
      <c r="B33" s="19" t="s">
        <v>191</v>
      </c>
      <c r="C33" s="19" t="s">
        <v>34</v>
      </c>
      <c r="D33" s="18" t="s">
        <v>193</v>
      </c>
      <c r="E33" s="20">
        <v>2812</v>
      </c>
      <c r="F33" s="20"/>
      <c r="G33" s="20"/>
      <c r="H33" s="20"/>
      <c r="I33" s="20"/>
      <c r="J33" s="20"/>
      <c r="K33" s="20"/>
      <c r="L33" s="20"/>
      <c r="M33" s="20"/>
      <c r="N33" s="20"/>
      <c r="O33" s="20">
        <f t="shared" si="3"/>
        <v>2812</v>
      </c>
    </row>
    <row r="34" spans="1:15" s="30" customFormat="1" ht="47.25">
      <c r="A34" s="25" t="s">
        <v>137</v>
      </c>
      <c r="B34" s="25"/>
      <c r="C34" s="25"/>
      <c r="D34" s="26" t="s">
        <v>251</v>
      </c>
      <c r="E34" s="21">
        <f>E35</f>
        <v>3062.4</v>
      </c>
      <c r="F34" s="21">
        <f t="shared" ref="F34:N34" si="4">F35</f>
        <v>1165</v>
      </c>
      <c r="G34" s="21">
        <f t="shared" si="4"/>
        <v>85.9</v>
      </c>
      <c r="H34" s="21">
        <f t="shared" si="4"/>
        <v>80</v>
      </c>
      <c r="I34" s="21">
        <f t="shared" si="4"/>
        <v>10</v>
      </c>
      <c r="J34" s="21"/>
      <c r="K34" s="21"/>
      <c r="L34" s="21">
        <f t="shared" si="4"/>
        <v>70</v>
      </c>
      <c r="M34" s="21">
        <f t="shared" si="4"/>
        <v>70</v>
      </c>
      <c r="N34" s="21">
        <f t="shared" si="4"/>
        <v>70</v>
      </c>
      <c r="O34" s="21">
        <f t="shared" si="3"/>
        <v>3142.4</v>
      </c>
    </row>
    <row r="35" spans="1:15" s="29" customFormat="1" ht="47.25">
      <c r="A35" s="25" t="s">
        <v>138</v>
      </c>
      <c r="B35" s="19"/>
      <c r="C35" s="19"/>
      <c r="D35" s="26" t="s">
        <v>251</v>
      </c>
      <c r="E35" s="21">
        <f>E36+E37</f>
        <v>3062.4</v>
      </c>
      <c r="F35" s="21">
        <f>F36+F37</f>
        <v>1165</v>
      </c>
      <c r="G35" s="21">
        <f>G36+G37</f>
        <v>85.9</v>
      </c>
      <c r="H35" s="21">
        <f>I35+L35</f>
        <v>80</v>
      </c>
      <c r="I35" s="21">
        <f>I36+I37</f>
        <v>10</v>
      </c>
      <c r="J35" s="21"/>
      <c r="K35" s="21"/>
      <c r="L35" s="21">
        <f>L36+L37</f>
        <v>70</v>
      </c>
      <c r="M35" s="21">
        <f>M36+M37</f>
        <v>70</v>
      </c>
      <c r="N35" s="21">
        <f>N36+N37</f>
        <v>70</v>
      </c>
      <c r="O35" s="21">
        <f t="shared" si="3"/>
        <v>3142.4</v>
      </c>
    </row>
    <row r="36" spans="1:15" s="29" customFormat="1" ht="78.75">
      <c r="A36" s="19" t="s">
        <v>139</v>
      </c>
      <c r="B36" s="19" t="s">
        <v>117</v>
      </c>
      <c r="C36" s="19" t="s">
        <v>32</v>
      </c>
      <c r="D36" s="18" t="s">
        <v>118</v>
      </c>
      <c r="E36" s="20">
        <v>1532.4</v>
      </c>
      <c r="F36" s="20">
        <f>955+210</f>
        <v>1165</v>
      </c>
      <c r="G36" s="20">
        <v>85.9</v>
      </c>
      <c r="H36" s="20">
        <f>I36+L36</f>
        <v>10</v>
      </c>
      <c r="I36" s="20">
        <v>10</v>
      </c>
      <c r="J36" s="20"/>
      <c r="K36" s="20"/>
      <c r="L36" s="20"/>
      <c r="M36" s="20"/>
      <c r="N36" s="20"/>
      <c r="O36" s="20">
        <f t="shared" si="3"/>
        <v>1542.4</v>
      </c>
    </row>
    <row r="37" spans="1:15" s="29" customFormat="1" ht="15.75">
      <c r="A37" s="19" t="s">
        <v>142</v>
      </c>
      <c r="B37" s="19" t="s">
        <v>99</v>
      </c>
      <c r="C37" s="19" t="s">
        <v>40</v>
      </c>
      <c r="D37" s="18" t="s">
        <v>121</v>
      </c>
      <c r="E37" s="20">
        <f>1030+500</f>
        <v>1530</v>
      </c>
      <c r="F37" s="20"/>
      <c r="G37" s="20"/>
      <c r="H37" s="20">
        <f>I37+L37</f>
        <v>70</v>
      </c>
      <c r="I37" s="20"/>
      <c r="J37" s="20"/>
      <c r="K37" s="20"/>
      <c r="L37" s="20">
        <v>70</v>
      </c>
      <c r="M37" s="20">
        <v>70</v>
      </c>
      <c r="N37" s="20">
        <v>70</v>
      </c>
      <c r="O37" s="20">
        <f t="shared" si="3"/>
        <v>1600</v>
      </c>
    </row>
    <row r="38" spans="1:15" s="30" customFormat="1" ht="47.25">
      <c r="A38" s="25" t="s">
        <v>137</v>
      </c>
      <c r="B38" s="25"/>
      <c r="C38" s="25"/>
      <c r="D38" s="26" t="s">
        <v>17</v>
      </c>
      <c r="E38" s="21">
        <f>E39</f>
        <v>1860.4</v>
      </c>
      <c r="F38" s="21">
        <f>F39</f>
        <v>960</v>
      </c>
      <c r="G38" s="21">
        <f>G39</f>
        <v>32</v>
      </c>
      <c r="H38" s="21">
        <f t="shared" ref="H38:N38" si="5">H39</f>
        <v>17</v>
      </c>
      <c r="I38" s="21">
        <f t="shared" si="5"/>
        <v>0</v>
      </c>
      <c r="J38" s="21">
        <f t="shared" si="5"/>
        <v>0</v>
      </c>
      <c r="K38" s="21">
        <f t="shared" si="5"/>
        <v>0</v>
      </c>
      <c r="L38" s="21">
        <f t="shared" si="5"/>
        <v>17</v>
      </c>
      <c r="M38" s="21">
        <f t="shared" si="5"/>
        <v>17</v>
      </c>
      <c r="N38" s="21">
        <f t="shared" si="5"/>
        <v>17</v>
      </c>
      <c r="O38" s="21">
        <f t="shared" si="3"/>
        <v>1877.4</v>
      </c>
    </row>
    <row r="39" spans="1:15" s="30" customFormat="1" ht="47.25">
      <c r="A39" s="25" t="s">
        <v>138</v>
      </c>
      <c r="B39" s="25"/>
      <c r="C39" s="25"/>
      <c r="D39" s="26" t="s">
        <v>17</v>
      </c>
      <c r="E39" s="21">
        <f>E40+E41</f>
        <v>1860.4</v>
      </c>
      <c r="F39" s="21">
        <f>F40+F41</f>
        <v>960</v>
      </c>
      <c r="G39" s="21">
        <f>G40+G41</f>
        <v>32</v>
      </c>
      <c r="H39" s="21">
        <f t="shared" ref="H39:N39" si="6">H40+H41</f>
        <v>17</v>
      </c>
      <c r="I39" s="21">
        <f t="shared" si="6"/>
        <v>0</v>
      </c>
      <c r="J39" s="21">
        <f t="shared" si="6"/>
        <v>0</v>
      </c>
      <c r="K39" s="21">
        <f t="shared" si="6"/>
        <v>0</v>
      </c>
      <c r="L39" s="21">
        <f t="shared" si="6"/>
        <v>17</v>
      </c>
      <c r="M39" s="21">
        <f t="shared" si="6"/>
        <v>17</v>
      </c>
      <c r="N39" s="21">
        <f t="shared" si="6"/>
        <v>17</v>
      </c>
      <c r="O39" s="21">
        <f t="shared" si="3"/>
        <v>1877.4</v>
      </c>
    </row>
    <row r="40" spans="1:15" s="29" customFormat="1" ht="78.75">
      <c r="A40" s="19" t="s">
        <v>139</v>
      </c>
      <c r="B40" s="19" t="s">
        <v>117</v>
      </c>
      <c r="C40" s="19" t="s">
        <v>32</v>
      </c>
      <c r="D40" s="18" t="s">
        <v>118</v>
      </c>
      <c r="E40" s="20">
        <v>1061.4000000000001</v>
      </c>
      <c r="F40" s="20">
        <f>787+173</f>
        <v>960</v>
      </c>
      <c r="G40" s="20">
        <v>32</v>
      </c>
      <c r="H40" s="21">
        <f>I40+L40</f>
        <v>17</v>
      </c>
      <c r="I40" s="20"/>
      <c r="J40" s="20"/>
      <c r="K40" s="20"/>
      <c r="L40" s="20">
        <f>17</f>
        <v>17</v>
      </c>
      <c r="M40" s="20">
        <f>17</f>
        <v>17</v>
      </c>
      <c r="N40" s="20">
        <f>17</f>
        <v>17</v>
      </c>
      <c r="O40" s="20">
        <f t="shared" si="3"/>
        <v>1078.4000000000001</v>
      </c>
    </row>
    <row r="41" spans="1:15" s="29" customFormat="1" ht="15.75">
      <c r="A41" s="19" t="s">
        <v>142</v>
      </c>
      <c r="B41" s="19" t="s">
        <v>99</v>
      </c>
      <c r="C41" s="19" t="s">
        <v>40</v>
      </c>
      <c r="D41" s="18" t="s">
        <v>121</v>
      </c>
      <c r="E41" s="20">
        <f>299+500</f>
        <v>799</v>
      </c>
      <c r="F41" s="20"/>
      <c r="G41" s="20"/>
      <c r="H41" s="20"/>
      <c r="I41" s="20"/>
      <c r="J41" s="20"/>
      <c r="K41" s="20"/>
      <c r="L41" s="20"/>
      <c r="M41" s="20"/>
      <c r="N41" s="20"/>
      <c r="O41" s="20">
        <f t="shared" si="3"/>
        <v>799</v>
      </c>
    </row>
    <row r="42" spans="1:15" s="30" customFormat="1" ht="47.25">
      <c r="A42" s="25" t="s">
        <v>137</v>
      </c>
      <c r="B42" s="25"/>
      <c r="C42" s="25"/>
      <c r="D42" s="26" t="s">
        <v>19</v>
      </c>
      <c r="E42" s="21">
        <f t="shared" ref="E42:N42" si="7">E43</f>
        <v>3242.4</v>
      </c>
      <c r="F42" s="21">
        <f t="shared" si="7"/>
        <v>1078</v>
      </c>
      <c r="G42" s="21">
        <f t="shared" si="7"/>
        <v>52.2</v>
      </c>
      <c r="H42" s="21">
        <f t="shared" si="7"/>
        <v>30</v>
      </c>
      <c r="I42" s="21">
        <f t="shared" si="7"/>
        <v>10</v>
      </c>
      <c r="J42" s="21">
        <f t="shared" si="7"/>
        <v>0</v>
      </c>
      <c r="K42" s="21">
        <f t="shared" si="7"/>
        <v>0</v>
      </c>
      <c r="L42" s="21">
        <f t="shared" si="7"/>
        <v>20</v>
      </c>
      <c r="M42" s="21">
        <f t="shared" si="7"/>
        <v>20</v>
      </c>
      <c r="N42" s="21">
        <f t="shared" si="7"/>
        <v>20</v>
      </c>
      <c r="O42" s="21">
        <f t="shared" si="3"/>
        <v>3272.4</v>
      </c>
    </row>
    <row r="43" spans="1:15" s="30" customFormat="1" ht="47.25">
      <c r="A43" s="25" t="s">
        <v>138</v>
      </c>
      <c r="B43" s="25"/>
      <c r="C43" s="25"/>
      <c r="D43" s="26" t="s">
        <v>19</v>
      </c>
      <c r="E43" s="21">
        <f>E44+E45</f>
        <v>3242.4</v>
      </c>
      <c r="F43" s="21">
        <f>F44</f>
        <v>1078</v>
      </c>
      <c r="G43" s="21">
        <f>G44</f>
        <v>52.2</v>
      </c>
      <c r="H43" s="21">
        <f>H44+H45</f>
        <v>30</v>
      </c>
      <c r="I43" s="21">
        <f t="shared" ref="I43:N43" si="8">I44+I45</f>
        <v>10</v>
      </c>
      <c r="J43" s="21">
        <f t="shared" si="8"/>
        <v>0</v>
      </c>
      <c r="K43" s="21">
        <f t="shared" si="8"/>
        <v>0</v>
      </c>
      <c r="L43" s="21">
        <f t="shared" si="8"/>
        <v>20</v>
      </c>
      <c r="M43" s="21">
        <f t="shared" si="8"/>
        <v>20</v>
      </c>
      <c r="N43" s="21">
        <f t="shared" si="8"/>
        <v>20</v>
      </c>
      <c r="O43" s="21">
        <f t="shared" si="3"/>
        <v>3272.4</v>
      </c>
    </row>
    <row r="44" spans="1:15" s="29" customFormat="1" ht="78.75">
      <c r="A44" s="19" t="s">
        <v>139</v>
      </c>
      <c r="B44" s="19" t="s">
        <v>117</v>
      </c>
      <c r="C44" s="19" t="s">
        <v>32</v>
      </c>
      <c r="D44" s="18" t="s">
        <v>118</v>
      </c>
      <c r="E44" s="20">
        <v>1322.4</v>
      </c>
      <c r="F44" s="20">
        <f>884+194</f>
        <v>1078</v>
      </c>
      <c r="G44" s="20">
        <v>52.2</v>
      </c>
      <c r="H44" s="24">
        <f>I44+L44</f>
        <v>30</v>
      </c>
      <c r="I44" s="24">
        <v>10</v>
      </c>
      <c r="J44" s="20"/>
      <c r="K44" s="20"/>
      <c r="L44" s="20">
        <v>20</v>
      </c>
      <c r="M44" s="20">
        <v>20</v>
      </c>
      <c r="N44" s="20">
        <v>20</v>
      </c>
      <c r="O44" s="20">
        <f t="shared" si="3"/>
        <v>1352.4</v>
      </c>
    </row>
    <row r="45" spans="1:15" s="29" customFormat="1" ht="15.75">
      <c r="A45" s="19" t="s">
        <v>142</v>
      </c>
      <c r="B45" s="19" t="s">
        <v>99</v>
      </c>
      <c r="C45" s="19" t="s">
        <v>40</v>
      </c>
      <c r="D45" s="18" t="s">
        <v>121</v>
      </c>
      <c r="E45" s="20">
        <f>1420+500</f>
        <v>1920</v>
      </c>
      <c r="F45" s="20"/>
      <c r="G45" s="20"/>
      <c r="H45" s="20"/>
      <c r="I45" s="20"/>
      <c r="J45" s="20"/>
      <c r="K45" s="20"/>
      <c r="L45" s="20"/>
      <c r="M45" s="20"/>
      <c r="N45" s="20"/>
      <c r="O45" s="20">
        <f t="shared" si="3"/>
        <v>1920</v>
      </c>
    </row>
    <row r="46" spans="1:15" s="30" customFormat="1" ht="31.5">
      <c r="A46" s="25" t="s">
        <v>122</v>
      </c>
      <c r="B46" s="25"/>
      <c r="C46" s="25"/>
      <c r="D46" s="26" t="s">
        <v>14</v>
      </c>
      <c r="E46" s="21">
        <f>E47</f>
        <v>226704.62000000002</v>
      </c>
      <c r="F46" s="21">
        <f t="shared" ref="F46:N46" si="9">F47</f>
        <v>174741.40000000002</v>
      </c>
      <c r="G46" s="21">
        <f t="shared" si="9"/>
        <v>22503.800000000003</v>
      </c>
      <c r="H46" s="21">
        <f t="shared" si="9"/>
        <v>21488.36752</v>
      </c>
      <c r="I46" s="21">
        <f t="shared" si="9"/>
        <v>9386.3009999999995</v>
      </c>
      <c r="J46" s="21">
        <f t="shared" si="9"/>
        <v>0</v>
      </c>
      <c r="K46" s="21">
        <f t="shared" si="9"/>
        <v>0</v>
      </c>
      <c r="L46" s="21">
        <f t="shared" si="9"/>
        <v>12102.06652</v>
      </c>
      <c r="M46" s="21">
        <f t="shared" si="9"/>
        <v>12082.06652</v>
      </c>
      <c r="N46" s="21">
        <f t="shared" si="9"/>
        <v>12082.06652</v>
      </c>
      <c r="O46" s="21">
        <f t="shared" si="3"/>
        <v>248192.98752000002</v>
      </c>
    </row>
    <row r="47" spans="1:15" s="29" customFormat="1" ht="31.5">
      <c r="A47" s="25" t="s">
        <v>123</v>
      </c>
      <c r="B47" s="19"/>
      <c r="C47" s="19"/>
      <c r="D47" s="26" t="s">
        <v>14</v>
      </c>
      <c r="E47" s="21">
        <f>E48+E49+E50+E54+E56+E60+E61+E62+E63+E64+E65+E66+E67+E68</f>
        <v>226704.62000000002</v>
      </c>
      <c r="F47" s="21">
        <f t="shared" ref="F47:N47" si="10">F48+F49+F50+F54+F56+F60+F61+F62+F63+F64+F65+F66+F67+F68</f>
        <v>174741.40000000002</v>
      </c>
      <c r="G47" s="21">
        <f t="shared" si="10"/>
        <v>22503.800000000003</v>
      </c>
      <c r="H47" s="21">
        <f t="shared" si="10"/>
        <v>21488.36752</v>
      </c>
      <c r="I47" s="21">
        <f t="shared" si="10"/>
        <v>9386.3009999999995</v>
      </c>
      <c r="J47" s="21">
        <f t="shared" si="10"/>
        <v>0</v>
      </c>
      <c r="K47" s="21">
        <f t="shared" si="10"/>
        <v>0</v>
      </c>
      <c r="L47" s="21">
        <f t="shared" si="10"/>
        <v>12102.06652</v>
      </c>
      <c r="M47" s="21">
        <f t="shared" si="10"/>
        <v>12082.06652</v>
      </c>
      <c r="N47" s="21">
        <f t="shared" si="10"/>
        <v>12082.06652</v>
      </c>
      <c r="O47" s="21">
        <f t="shared" si="3"/>
        <v>248192.98752000002</v>
      </c>
    </row>
    <row r="48" spans="1:15" s="29" customFormat="1" ht="47.25">
      <c r="A48" s="19" t="s">
        <v>125</v>
      </c>
      <c r="B48" s="19" t="s">
        <v>124</v>
      </c>
      <c r="C48" s="19" t="s">
        <v>32</v>
      </c>
      <c r="D48" s="27" t="s">
        <v>126</v>
      </c>
      <c r="E48" s="20">
        <v>1762.6</v>
      </c>
      <c r="F48" s="20">
        <f>1412+311</f>
        <v>1723</v>
      </c>
      <c r="G48" s="20">
        <v>21.7</v>
      </c>
      <c r="H48" s="20">
        <f t="shared" ref="H48:H68" si="11">I48+L48</f>
        <v>0</v>
      </c>
      <c r="I48" s="20"/>
      <c r="J48" s="20"/>
      <c r="K48" s="20"/>
      <c r="L48" s="20"/>
      <c r="M48" s="20"/>
      <c r="N48" s="20"/>
      <c r="O48" s="20">
        <f t="shared" si="3"/>
        <v>1762.6</v>
      </c>
    </row>
    <row r="49" spans="1:18" s="29" customFormat="1" ht="15.75">
      <c r="A49" s="19" t="s">
        <v>127</v>
      </c>
      <c r="B49" s="19" t="s">
        <v>42</v>
      </c>
      <c r="C49" s="19" t="s">
        <v>43</v>
      </c>
      <c r="D49" s="12" t="s">
        <v>128</v>
      </c>
      <c r="E49" s="28">
        <f>75595.6+238.72</f>
        <v>75834.320000000007</v>
      </c>
      <c r="F49" s="28">
        <f>44857.2+9868.6</f>
        <v>54725.799999999996</v>
      </c>
      <c r="G49" s="28">
        <v>10509.3</v>
      </c>
      <c r="H49" s="20">
        <f t="shared" si="11"/>
        <v>12984.9</v>
      </c>
      <c r="I49" s="28">
        <v>8924.9</v>
      </c>
      <c r="J49" s="28"/>
      <c r="K49" s="28"/>
      <c r="L49" s="28">
        <f>2400+700+960</f>
        <v>4060</v>
      </c>
      <c r="M49" s="28">
        <f>2400+700+960</f>
        <v>4060</v>
      </c>
      <c r="N49" s="28">
        <f>2400+700+960</f>
        <v>4060</v>
      </c>
      <c r="O49" s="20">
        <f t="shared" si="3"/>
        <v>88819.22</v>
      </c>
    </row>
    <row r="50" spans="1:18" s="29" customFormat="1" ht="78.75">
      <c r="A50" s="19" t="s">
        <v>129</v>
      </c>
      <c r="B50" s="19" t="s">
        <v>44</v>
      </c>
      <c r="C50" s="19" t="s">
        <v>45</v>
      </c>
      <c r="D50" s="27" t="s">
        <v>46</v>
      </c>
      <c r="E50" s="28">
        <f>106993.6+360</f>
        <v>107353.60000000001</v>
      </c>
      <c r="F50" s="28">
        <f>75279.3+16561.4</f>
        <v>91840.700000000012</v>
      </c>
      <c r="G50" s="28">
        <v>10334.1</v>
      </c>
      <c r="H50" s="20">
        <f t="shared" si="11"/>
        <v>5225.6000000000004</v>
      </c>
      <c r="I50" s="28">
        <v>295.60000000000002</v>
      </c>
      <c r="J50" s="28"/>
      <c r="K50" s="28"/>
      <c r="L50" s="28">
        <f>1630+2000+1300</f>
        <v>4930</v>
      </c>
      <c r="M50" s="28">
        <f>1630+2000+1300</f>
        <v>4930</v>
      </c>
      <c r="N50" s="28">
        <f>1630+2000+1300</f>
        <v>4930</v>
      </c>
      <c r="O50" s="20">
        <f t="shared" si="3"/>
        <v>112579.20000000001</v>
      </c>
      <c r="Q50" s="51"/>
    </row>
    <row r="51" spans="1:18" s="29" customFormat="1" ht="15.75">
      <c r="A51" s="19"/>
      <c r="B51" s="19"/>
      <c r="C51" s="19"/>
      <c r="D51" s="27" t="s">
        <v>394</v>
      </c>
      <c r="E51" s="28"/>
      <c r="F51" s="28"/>
      <c r="G51" s="28"/>
      <c r="H51" s="20"/>
      <c r="I51" s="28"/>
      <c r="J51" s="28"/>
      <c r="K51" s="28"/>
      <c r="L51" s="28"/>
      <c r="M51" s="28"/>
      <c r="N51" s="28"/>
      <c r="O51" s="20"/>
      <c r="Q51" s="51"/>
    </row>
    <row r="52" spans="1:18" s="37" customFormat="1" ht="47.25">
      <c r="A52" s="35"/>
      <c r="B52" s="35"/>
      <c r="C52" s="35"/>
      <c r="D52" s="36" t="s">
        <v>395</v>
      </c>
      <c r="E52" s="96">
        <v>73022.600000000006</v>
      </c>
      <c r="F52" s="96">
        <v>73022.600000000006</v>
      </c>
      <c r="G52" s="96"/>
      <c r="H52" s="97">
        <f>I52+L52</f>
        <v>0</v>
      </c>
      <c r="I52" s="96"/>
      <c r="J52" s="96"/>
      <c r="K52" s="96"/>
      <c r="L52" s="96"/>
      <c r="M52" s="96"/>
      <c r="N52" s="96"/>
      <c r="O52" s="97">
        <f>E52+H52</f>
        <v>73022.600000000006</v>
      </c>
      <c r="R52" s="98"/>
    </row>
    <row r="53" spans="1:18" s="37" customFormat="1" ht="78.75">
      <c r="A53" s="35"/>
      <c r="B53" s="35"/>
      <c r="C53" s="35"/>
      <c r="D53" s="79" t="s">
        <v>396</v>
      </c>
      <c r="E53" s="80">
        <v>300</v>
      </c>
      <c r="F53" s="80"/>
      <c r="G53" s="80"/>
      <c r="H53" s="76">
        <f>I53+L53</f>
        <v>700</v>
      </c>
      <c r="I53" s="80"/>
      <c r="J53" s="80"/>
      <c r="K53" s="80"/>
      <c r="L53" s="80">
        <v>700</v>
      </c>
      <c r="M53" s="80">
        <v>700</v>
      </c>
      <c r="N53" s="80">
        <v>700</v>
      </c>
      <c r="O53" s="76">
        <f>E53+H53</f>
        <v>1000</v>
      </c>
    </row>
    <row r="54" spans="1:18" s="29" customFormat="1" ht="31.5">
      <c r="A54" s="19" t="s">
        <v>130</v>
      </c>
      <c r="B54" s="19" t="s">
        <v>47</v>
      </c>
      <c r="C54" s="19" t="s">
        <v>45</v>
      </c>
      <c r="D54" s="27" t="s">
        <v>48</v>
      </c>
      <c r="E54" s="28">
        <v>761.8</v>
      </c>
      <c r="F54" s="28">
        <f>490.8+202.9</f>
        <v>693.7</v>
      </c>
      <c r="G54" s="28">
        <v>64</v>
      </c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761.8</v>
      </c>
      <c r="R54" s="52"/>
    </row>
    <row r="55" spans="1:18" s="37" customFormat="1" ht="63">
      <c r="A55" s="35"/>
      <c r="B55" s="35"/>
      <c r="C55" s="35"/>
      <c r="D55" s="36" t="s">
        <v>26</v>
      </c>
      <c r="E55" s="96">
        <v>543.6</v>
      </c>
      <c r="F55" s="96">
        <v>543.6</v>
      </c>
      <c r="G55" s="96"/>
      <c r="H55" s="97">
        <f t="shared" si="11"/>
        <v>0</v>
      </c>
      <c r="I55" s="96"/>
      <c r="J55" s="96"/>
      <c r="K55" s="96"/>
      <c r="L55" s="96"/>
      <c r="M55" s="96"/>
      <c r="N55" s="96"/>
      <c r="O55" s="97">
        <f t="shared" si="3"/>
        <v>543.6</v>
      </c>
      <c r="R55" s="98"/>
    </row>
    <row r="56" spans="1:18" s="29" customFormat="1" ht="94.5">
      <c r="A56" s="19" t="s">
        <v>131</v>
      </c>
      <c r="B56" s="19" t="s">
        <v>76</v>
      </c>
      <c r="C56" s="19" t="s">
        <v>49</v>
      </c>
      <c r="D56" s="27" t="s">
        <v>107</v>
      </c>
      <c r="E56" s="28">
        <f>8280.4+80</f>
        <v>8360.4</v>
      </c>
      <c r="F56" s="28">
        <f>5752.3+1265.5</f>
        <v>7017.8</v>
      </c>
      <c r="G56" s="28">
        <v>624.20000000000005</v>
      </c>
      <c r="H56" s="20">
        <f t="shared" si="11"/>
        <v>622.06652000000008</v>
      </c>
      <c r="I56" s="28"/>
      <c r="J56" s="28"/>
      <c r="K56" s="28"/>
      <c r="L56" s="28">
        <f>300+322.06652</f>
        <v>622.06652000000008</v>
      </c>
      <c r="M56" s="28">
        <f>300+322.06652</f>
        <v>622.06652000000008</v>
      </c>
      <c r="N56" s="28">
        <f>300+322.06652</f>
        <v>622.06652000000008</v>
      </c>
      <c r="O56" s="20">
        <f t="shared" si="3"/>
        <v>8982.4665199999999</v>
      </c>
    </row>
    <row r="57" spans="1:18" s="29" customFormat="1" ht="15.75">
      <c r="A57" s="19"/>
      <c r="B57" s="19"/>
      <c r="C57" s="19"/>
      <c r="D57" s="27" t="s">
        <v>394</v>
      </c>
      <c r="E57" s="28"/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37" customFormat="1" ht="47.25">
      <c r="A58" s="35"/>
      <c r="B58" s="35"/>
      <c r="C58" s="35"/>
      <c r="D58" s="36" t="s">
        <v>395</v>
      </c>
      <c r="E58" s="96">
        <v>6002.5</v>
      </c>
      <c r="F58" s="96">
        <v>6002.5</v>
      </c>
      <c r="G58" s="96"/>
      <c r="H58" s="97">
        <f t="shared" si="11"/>
        <v>0</v>
      </c>
      <c r="I58" s="96"/>
      <c r="J58" s="96"/>
      <c r="K58" s="96"/>
      <c r="L58" s="96"/>
      <c r="M58" s="96"/>
      <c r="N58" s="96"/>
      <c r="O58" s="97">
        <f t="shared" si="3"/>
        <v>6002.5</v>
      </c>
    </row>
    <row r="59" spans="1:18" s="37" customFormat="1" ht="78.75">
      <c r="A59" s="35"/>
      <c r="B59" s="35"/>
      <c r="C59" s="35"/>
      <c r="D59" s="79" t="s">
        <v>396</v>
      </c>
      <c r="E59" s="80"/>
      <c r="F59" s="80"/>
      <c r="G59" s="80"/>
      <c r="H59" s="76">
        <f>I59+L59</f>
        <v>282.06652000000003</v>
      </c>
      <c r="I59" s="80"/>
      <c r="J59" s="80"/>
      <c r="K59" s="80"/>
      <c r="L59" s="80">
        <v>282.06652000000003</v>
      </c>
      <c r="M59" s="80">
        <v>282.06652000000003</v>
      </c>
      <c r="N59" s="80">
        <v>282.06652000000003</v>
      </c>
      <c r="O59" s="76">
        <f t="shared" si="3"/>
        <v>282.06652000000003</v>
      </c>
    </row>
    <row r="60" spans="1:18" s="29" customFormat="1" ht="47.25">
      <c r="A60" s="19" t="s">
        <v>132</v>
      </c>
      <c r="B60" s="19" t="s">
        <v>33</v>
      </c>
      <c r="C60" s="19" t="s">
        <v>50</v>
      </c>
      <c r="D60" s="27" t="s">
        <v>51</v>
      </c>
      <c r="E60" s="28">
        <f>11228+140</f>
        <v>11368</v>
      </c>
      <c r="F60" s="28">
        <f>7712.8+1696.8</f>
        <v>9409.6</v>
      </c>
      <c r="G60" s="28">
        <v>377.7</v>
      </c>
      <c r="H60" s="20">
        <f t="shared" si="11"/>
        <v>1155.8</v>
      </c>
      <c r="I60" s="28">
        <v>165.8</v>
      </c>
      <c r="J60" s="28"/>
      <c r="K60" s="28"/>
      <c r="L60" s="28">
        <f>20+970</f>
        <v>990</v>
      </c>
      <c r="M60" s="28">
        <v>970</v>
      </c>
      <c r="N60" s="28">
        <v>970</v>
      </c>
      <c r="O60" s="20">
        <f t="shared" si="3"/>
        <v>12523.8</v>
      </c>
    </row>
    <row r="61" spans="1:18" s="29" customFormat="1" ht="31.5">
      <c r="A61" s="19" t="s">
        <v>135</v>
      </c>
      <c r="B61" s="19" t="s">
        <v>133</v>
      </c>
      <c r="C61" s="19" t="s">
        <v>52</v>
      </c>
      <c r="D61" s="12" t="s">
        <v>134</v>
      </c>
      <c r="E61" s="28">
        <v>180.5</v>
      </c>
      <c r="F61" s="28"/>
      <c r="G61" s="28"/>
      <c r="H61" s="20">
        <f t="shared" si="11"/>
        <v>0</v>
      </c>
      <c r="I61" s="28"/>
      <c r="J61" s="28"/>
      <c r="K61" s="28"/>
      <c r="L61" s="28"/>
      <c r="M61" s="28"/>
      <c r="N61" s="28"/>
      <c r="O61" s="20">
        <f t="shared" si="3"/>
        <v>180.5</v>
      </c>
    </row>
    <row r="62" spans="1:18" s="29" customFormat="1" ht="31.5">
      <c r="A62" s="19" t="s">
        <v>151</v>
      </c>
      <c r="B62" s="19" t="s">
        <v>150</v>
      </c>
      <c r="C62" s="19" t="s">
        <v>53</v>
      </c>
      <c r="D62" s="27" t="s">
        <v>152</v>
      </c>
      <c r="E62" s="28">
        <f>1827.8-315.1</f>
        <v>1512.6999999999998</v>
      </c>
      <c r="F62" s="28">
        <f>1358.3+298.8-315.1</f>
        <v>1342</v>
      </c>
      <c r="G62" s="28">
        <v>26.2</v>
      </c>
      <c r="H62" s="20">
        <f t="shared" si="11"/>
        <v>0</v>
      </c>
      <c r="I62" s="28"/>
      <c r="J62" s="28"/>
      <c r="K62" s="28"/>
      <c r="L62" s="28"/>
      <c r="M62" s="28"/>
      <c r="N62" s="28"/>
      <c r="O62" s="20">
        <f t="shared" si="3"/>
        <v>1512.6999999999998</v>
      </c>
    </row>
    <row r="63" spans="1:18" s="29" customFormat="1" ht="31.5">
      <c r="A63" s="19" t="s">
        <v>285</v>
      </c>
      <c r="B63" s="19" t="s">
        <v>284</v>
      </c>
      <c r="C63" s="19" t="s">
        <v>53</v>
      </c>
      <c r="D63" s="27" t="s">
        <v>324</v>
      </c>
      <c r="E63" s="28">
        <f>2705.8-1827.8+2313.9+1584.5+315.1+20</f>
        <v>5111.5000000000009</v>
      </c>
      <c r="F63" s="28">
        <f>2073.1+456.1-1657.1+812.7+178.8+1763.4+388+315.1</f>
        <v>4330.1000000000004</v>
      </c>
      <c r="G63" s="28">
        <f>46.6+235.1</f>
        <v>281.7</v>
      </c>
      <c r="H63" s="20">
        <f t="shared" si="11"/>
        <v>1E-3</v>
      </c>
      <c r="I63" s="28">
        <v>1E-3</v>
      </c>
      <c r="J63" s="28"/>
      <c r="K63" s="28"/>
      <c r="L63" s="28"/>
      <c r="M63" s="28"/>
      <c r="N63" s="28"/>
      <c r="O63" s="20">
        <f t="shared" si="3"/>
        <v>5111.5010000000011</v>
      </c>
    </row>
    <row r="64" spans="1:18" s="29" customFormat="1" ht="15.75">
      <c r="A64" s="19" t="s">
        <v>325</v>
      </c>
      <c r="B64" s="19" t="s">
        <v>326</v>
      </c>
      <c r="C64" s="19" t="s">
        <v>53</v>
      </c>
      <c r="D64" s="27" t="s">
        <v>327</v>
      </c>
      <c r="E64" s="28">
        <v>40.9</v>
      </c>
      <c r="F64" s="28"/>
      <c r="G64" s="28"/>
      <c r="H64" s="20"/>
      <c r="I64" s="28"/>
      <c r="J64" s="28"/>
      <c r="K64" s="28"/>
      <c r="L64" s="28"/>
      <c r="M64" s="28"/>
      <c r="N64" s="28"/>
      <c r="O64" s="20"/>
    </row>
    <row r="65" spans="1:15" s="29" customFormat="1" ht="78.75">
      <c r="A65" s="19" t="s">
        <v>136</v>
      </c>
      <c r="B65" s="19" t="s">
        <v>61</v>
      </c>
      <c r="C65" s="19" t="s">
        <v>54</v>
      </c>
      <c r="D65" s="12" t="s">
        <v>55</v>
      </c>
      <c r="E65" s="20">
        <v>1031.7</v>
      </c>
      <c r="F65" s="20"/>
      <c r="G65" s="20"/>
      <c r="H65" s="20">
        <f t="shared" si="11"/>
        <v>0</v>
      </c>
      <c r="I65" s="20"/>
      <c r="J65" s="20"/>
      <c r="K65" s="20"/>
      <c r="L65" s="20"/>
      <c r="M65" s="20"/>
      <c r="N65" s="20"/>
      <c r="O65" s="20">
        <f t="shared" si="3"/>
        <v>1031.7</v>
      </c>
    </row>
    <row r="66" spans="1:15" s="29" customFormat="1" ht="31.5">
      <c r="A66" s="19" t="s">
        <v>321</v>
      </c>
      <c r="B66" s="19" t="s">
        <v>318</v>
      </c>
      <c r="C66" s="19" t="s">
        <v>33</v>
      </c>
      <c r="D66" s="27" t="s">
        <v>319</v>
      </c>
      <c r="E66" s="20">
        <v>9000.4</v>
      </c>
      <c r="F66" s="20"/>
      <c r="G66" s="20"/>
      <c r="H66" s="20">
        <f t="shared" si="11"/>
        <v>0</v>
      </c>
      <c r="I66" s="20"/>
      <c r="J66" s="20"/>
      <c r="K66" s="20"/>
      <c r="L66" s="20"/>
      <c r="M66" s="20"/>
      <c r="N66" s="20"/>
      <c r="O66" s="20">
        <f t="shared" si="3"/>
        <v>9000.4</v>
      </c>
    </row>
    <row r="67" spans="1:15" s="29" customFormat="1" ht="47.25">
      <c r="A67" s="19" t="s">
        <v>143</v>
      </c>
      <c r="B67" s="19" t="s">
        <v>110</v>
      </c>
      <c r="C67" s="19" t="s">
        <v>56</v>
      </c>
      <c r="D67" s="12" t="s">
        <v>57</v>
      </c>
      <c r="E67" s="28">
        <f>4326.2+60</f>
        <v>4386.2</v>
      </c>
      <c r="F67" s="28">
        <f>2998.9+659.8</f>
        <v>3658.7</v>
      </c>
      <c r="G67" s="28">
        <v>264.89999999999998</v>
      </c>
      <c r="H67" s="20">
        <f t="shared" si="11"/>
        <v>0</v>
      </c>
      <c r="I67" s="28"/>
      <c r="J67" s="28"/>
      <c r="K67" s="28"/>
      <c r="L67" s="28"/>
      <c r="M67" s="28"/>
      <c r="N67" s="28"/>
      <c r="O67" s="20">
        <f t="shared" si="3"/>
        <v>4386.2</v>
      </c>
    </row>
    <row r="68" spans="1:15" s="29" customFormat="1" ht="31.5">
      <c r="A68" s="19" t="s">
        <v>379</v>
      </c>
      <c r="B68" s="19" t="s">
        <v>291</v>
      </c>
      <c r="C68" s="19" t="s">
        <v>58</v>
      </c>
      <c r="D68" s="18" t="s">
        <v>258</v>
      </c>
      <c r="E68" s="77"/>
      <c r="F68" s="77"/>
      <c r="G68" s="77"/>
      <c r="H68" s="24">
        <f t="shared" si="11"/>
        <v>1500</v>
      </c>
      <c r="I68" s="77"/>
      <c r="J68" s="77"/>
      <c r="K68" s="77"/>
      <c r="L68" s="77">
        <v>1500</v>
      </c>
      <c r="M68" s="77">
        <v>1500</v>
      </c>
      <c r="N68" s="77">
        <v>1500</v>
      </c>
      <c r="O68" s="24">
        <f t="shared" si="3"/>
        <v>1500</v>
      </c>
    </row>
    <row r="69" spans="1:15" s="30" customFormat="1" ht="47.25">
      <c r="A69" s="25" t="s">
        <v>144</v>
      </c>
      <c r="B69" s="25"/>
      <c r="C69" s="25"/>
      <c r="D69" s="26" t="s">
        <v>20</v>
      </c>
      <c r="E69" s="21">
        <f>E70</f>
        <v>144332.02000000002</v>
      </c>
      <c r="F69" s="21">
        <f t="shared" ref="F69:N69" si="12">F70</f>
        <v>14729.1</v>
      </c>
      <c r="G69" s="21">
        <f t="shared" si="12"/>
        <v>403.6</v>
      </c>
      <c r="H69" s="21">
        <f t="shared" si="12"/>
        <v>50</v>
      </c>
      <c r="I69" s="21">
        <f t="shared" si="12"/>
        <v>0</v>
      </c>
      <c r="J69" s="21">
        <f t="shared" si="12"/>
        <v>0</v>
      </c>
      <c r="K69" s="21">
        <f t="shared" si="12"/>
        <v>0</v>
      </c>
      <c r="L69" s="21">
        <f t="shared" si="12"/>
        <v>50</v>
      </c>
      <c r="M69" s="21">
        <f t="shared" si="12"/>
        <v>36</v>
      </c>
      <c r="N69" s="21">
        <f t="shared" si="12"/>
        <v>36</v>
      </c>
      <c r="O69" s="21">
        <f t="shared" si="3"/>
        <v>144382.02000000002</v>
      </c>
    </row>
    <row r="70" spans="1:15" s="29" customFormat="1" ht="47.25">
      <c r="A70" s="25" t="s">
        <v>145</v>
      </c>
      <c r="B70" s="19"/>
      <c r="C70" s="19"/>
      <c r="D70" s="26" t="s">
        <v>20</v>
      </c>
      <c r="E70" s="21">
        <f>E71+E72+E91+E92+E93+E89+E94+E73+E74+E75+E76+E77+E78+E79+E80+E81+E82+E83+E84+E85+E86+E88+E90+E87</f>
        <v>144332.02000000002</v>
      </c>
      <c r="F70" s="21">
        <f t="shared" ref="F70:N70" si="13">F71+F72+F91+F92+F93+F89+F94+F73+F74+F75+F76+F77+F78+F79+F80+F81+F82+F83+F84+F85+F86+F88+F90+F87</f>
        <v>14729.1</v>
      </c>
      <c r="G70" s="21">
        <f t="shared" si="13"/>
        <v>403.6</v>
      </c>
      <c r="H70" s="21">
        <f t="shared" si="13"/>
        <v>50</v>
      </c>
      <c r="I70" s="21">
        <f t="shared" si="13"/>
        <v>0</v>
      </c>
      <c r="J70" s="21">
        <f t="shared" si="13"/>
        <v>0</v>
      </c>
      <c r="K70" s="21">
        <f t="shared" si="13"/>
        <v>0</v>
      </c>
      <c r="L70" s="21">
        <f t="shared" si="13"/>
        <v>50</v>
      </c>
      <c r="M70" s="21">
        <f t="shared" si="13"/>
        <v>36</v>
      </c>
      <c r="N70" s="21">
        <f t="shared" si="13"/>
        <v>36</v>
      </c>
      <c r="O70" s="21">
        <f t="shared" si="3"/>
        <v>144382.02000000002</v>
      </c>
    </row>
    <row r="71" spans="1:15" s="29" customFormat="1" ht="47.25">
      <c r="A71" s="19" t="s">
        <v>146</v>
      </c>
      <c r="B71" s="19" t="s">
        <v>124</v>
      </c>
      <c r="C71" s="19" t="s">
        <v>32</v>
      </c>
      <c r="D71" s="18" t="s">
        <v>126</v>
      </c>
      <c r="E71" s="20">
        <f>8717.1+175.72</f>
        <v>8892.82</v>
      </c>
      <c r="F71" s="20">
        <f>6646+1462</f>
        <v>8108</v>
      </c>
      <c r="G71" s="20">
        <v>241.9</v>
      </c>
      <c r="H71" s="20">
        <f>I71+L71</f>
        <v>36</v>
      </c>
      <c r="I71" s="20"/>
      <c r="J71" s="20"/>
      <c r="K71" s="20"/>
      <c r="L71" s="20">
        <v>36</v>
      </c>
      <c r="M71" s="20">
        <v>36</v>
      </c>
      <c r="N71" s="20">
        <v>36</v>
      </c>
      <c r="O71" s="20">
        <f t="shared" si="3"/>
        <v>8928.82</v>
      </c>
    </row>
    <row r="72" spans="1:15" s="16" customFormat="1" ht="15.75">
      <c r="A72" s="19" t="s">
        <v>387</v>
      </c>
      <c r="B72" s="19" t="s">
        <v>41</v>
      </c>
      <c r="C72" s="19" t="s">
        <v>37</v>
      </c>
      <c r="D72" s="85" t="s">
        <v>207</v>
      </c>
      <c r="E72" s="24">
        <v>23</v>
      </c>
      <c r="F72" s="41"/>
      <c r="G72" s="41"/>
      <c r="H72" s="41"/>
      <c r="I72" s="41"/>
      <c r="J72" s="41"/>
      <c r="K72" s="41"/>
      <c r="L72" s="41"/>
      <c r="M72" s="41"/>
      <c r="N72" s="41"/>
      <c r="O72" s="24">
        <f t="shared" si="3"/>
        <v>23</v>
      </c>
    </row>
    <row r="73" spans="1:15" s="99" customFormat="1" ht="47.25">
      <c r="A73" s="19" t="s">
        <v>220</v>
      </c>
      <c r="B73" s="19" t="s">
        <v>72</v>
      </c>
      <c r="C73" s="19" t="s">
        <v>47</v>
      </c>
      <c r="D73" s="12" t="s">
        <v>219</v>
      </c>
      <c r="E73" s="20">
        <v>8610.7000000000007</v>
      </c>
      <c r="F73" s="20"/>
      <c r="G73" s="20"/>
      <c r="H73" s="21"/>
      <c r="I73" s="20"/>
      <c r="J73" s="20"/>
      <c r="K73" s="20"/>
      <c r="L73" s="20"/>
      <c r="M73" s="20"/>
      <c r="N73" s="20"/>
      <c r="O73" s="20">
        <f t="shared" si="3"/>
        <v>8610.7000000000007</v>
      </c>
    </row>
    <row r="74" spans="1:15" s="99" customFormat="1" ht="47.25">
      <c r="A74" s="19" t="s">
        <v>221</v>
      </c>
      <c r="B74" s="19" t="s">
        <v>75</v>
      </c>
      <c r="C74" s="19" t="s">
        <v>47</v>
      </c>
      <c r="D74" s="12" t="s">
        <v>91</v>
      </c>
      <c r="E74" s="20">
        <v>28827</v>
      </c>
      <c r="F74" s="20"/>
      <c r="G74" s="20"/>
      <c r="H74" s="21"/>
      <c r="I74" s="20"/>
      <c r="J74" s="20"/>
      <c r="K74" s="20"/>
      <c r="L74" s="20"/>
      <c r="M74" s="20"/>
      <c r="N74" s="20"/>
      <c r="O74" s="20">
        <f t="shared" si="3"/>
        <v>28827</v>
      </c>
    </row>
    <row r="75" spans="1:15" s="99" customFormat="1" ht="63">
      <c r="A75" s="19" t="s">
        <v>223</v>
      </c>
      <c r="B75" s="19" t="s">
        <v>73</v>
      </c>
      <c r="C75" s="19" t="s">
        <v>47</v>
      </c>
      <c r="D75" s="12" t="s">
        <v>222</v>
      </c>
      <c r="E75" s="20">
        <v>85</v>
      </c>
      <c r="F75" s="20"/>
      <c r="G75" s="20"/>
      <c r="H75" s="21"/>
      <c r="I75" s="20"/>
      <c r="J75" s="20"/>
      <c r="K75" s="20"/>
      <c r="L75" s="20"/>
      <c r="M75" s="20"/>
      <c r="N75" s="20"/>
      <c r="O75" s="20">
        <f t="shared" si="3"/>
        <v>85</v>
      </c>
    </row>
    <row r="76" spans="1:15" s="99" customFormat="1" ht="63">
      <c r="A76" s="19" t="s">
        <v>225</v>
      </c>
      <c r="B76" s="19" t="s">
        <v>224</v>
      </c>
      <c r="C76" s="19" t="s">
        <v>68</v>
      </c>
      <c r="D76" s="12" t="s">
        <v>92</v>
      </c>
      <c r="E76" s="20">
        <v>170</v>
      </c>
      <c r="F76" s="20"/>
      <c r="G76" s="20"/>
      <c r="H76" s="21"/>
      <c r="I76" s="20"/>
      <c r="J76" s="20"/>
      <c r="K76" s="20"/>
      <c r="L76" s="20"/>
      <c r="M76" s="20"/>
      <c r="N76" s="20"/>
      <c r="O76" s="20">
        <f t="shared" si="3"/>
        <v>170</v>
      </c>
    </row>
    <row r="77" spans="1:15" s="99" customFormat="1" ht="31.5">
      <c r="A77" s="19" t="s">
        <v>227</v>
      </c>
      <c r="B77" s="19" t="s">
        <v>74</v>
      </c>
      <c r="C77" s="19" t="s">
        <v>47</v>
      </c>
      <c r="D77" s="12" t="s">
        <v>226</v>
      </c>
      <c r="E77" s="20">
        <v>309</v>
      </c>
      <c r="F77" s="20"/>
      <c r="G77" s="20"/>
      <c r="H77" s="21"/>
      <c r="I77" s="20"/>
      <c r="J77" s="20"/>
      <c r="K77" s="20"/>
      <c r="L77" s="20"/>
      <c r="M77" s="20"/>
      <c r="N77" s="20"/>
      <c r="O77" s="20">
        <f t="shared" si="3"/>
        <v>309</v>
      </c>
    </row>
    <row r="78" spans="1:15" s="99" customFormat="1" ht="31.5">
      <c r="A78" s="19" t="s">
        <v>228</v>
      </c>
      <c r="B78" s="19" t="s">
        <v>229</v>
      </c>
      <c r="C78" s="19" t="s">
        <v>76</v>
      </c>
      <c r="D78" s="12" t="s">
        <v>77</v>
      </c>
      <c r="E78" s="20">
        <v>220</v>
      </c>
      <c r="F78" s="20"/>
      <c r="G78" s="20"/>
      <c r="H78" s="21"/>
      <c r="I78" s="20"/>
      <c r="J78" s="20"/>
      <c r="K78" s="20"/>
      <c r="L78" s="20"/>
      <c r="M78" s="20"/>
      <c r="N78" s="20"/>
      <c r="O78" s="20">
        <f t="shared" si="3"/>
        <v>220</v>
      </c>
    </row>
    <row r="79" spans="1:15" s="16" customFormat="1" ht="31.5">
      <c r="A79" s="19" t="s">
        <v>230</v>
      </c>
      <c r="B79" s="19" t="s">
        <v>78</v>
      </c>
      <c r="C79" s="19" t="s">
        <v>54</v>
      </c>
      <c r="D79" s="18" t="s">
        <v>79</v>
      </c>
      <c r="E79" s="20">
        <v>726.6</v>
      </c>
      <c r="F79" s="20"/>
      <c r="G79" s="20"/>
      <c r="H79" s="21"/>
      <c r="I79" s="20"/>
      <c r="J79" s="20"/>
      <c r="K79" s="20"/>
      <c r="L79" s="20"/>
      <c r="M79" s="20"/>
      <c r="N79" s="20"/>
      <c r="O79" s="20">
        <f t="shared" si="3"/>
        <v>726.6</v>
      </c>
    </row>
    <row r="80" spans="1:15" s="16" customFormat="1" ht="15.75">
      <c r="A80" s="19" t="s">
        <v>231</v>
      </c>
      <c r="B80" s="19" t="s">
        <v>80</v>
      </c>
      <c r="C80" s="19" t="s">
        <v>54</v>
      </c>
      <c r="D80" s="39" t="s">
        <v>89</v>
      </c>
      <c r="E80" s="24">
        <v>181.3</v>
      </c>
      <c r="F80" s="20"/>
      <c r="G80" s="20"/>
      <c r="H80" s="21"/>
      <c r="I80" s="20"/>
      <c r="J80" s="20"/>
      <c r="K80" s="20"/>
      <c r="L80" s="20"/>
      <c r="M80" s="20"/>
      <c r="N80" s="20"/>
      <c r="O80" s="20">
        <f t="shared" si="3"/>
        <v>181.3</v>
      </c>
    </row>
    <row r="81" spans="1:15" s="16" customFormat="1" ht="15.75">
      <c r="A81" s="19" t="s">
        <v>232</v>
      </c>
      <c r="B81" s="19" t="s">
        <v>81</v>
      </c>
      <c r="C81" s="19" t="s">
        <v>54</v>
      </c>
      <c r="D81" s="18" t="s">
        <v>82</v>
      </c>
      <c r="E81" s="20">
        <f>43161.5-3600</f>
        <v>39561.5</v>
      </c>
      <c r="F81" s="20"/>
      <c r="G81" s="20"/>
      <c r="H81" s="21"/>
      <c r="I81" s="20"/>
      <c r="J81" s="20"/>
      <c r="K81" s="20"/>
      <c r="L81" s="20"/>
      <c r="M81" s="20"/>
      <c r="N81" s="20"/>
      <c r="O81" s="20">
        <f t="shared" si="3"/>
        <v>39561.5</v>
      </c>
    </row>
    <row r="82" spans="1:15" s="16" customFormat="1" ht="31.5">
      <c r="A82" s="19" t="s">
        <v>233</v>
      </c>
      <c r="B82" s="19" t="s">
        <v>83</v>
      </c>
      <c r="C82" s="19" t="s">
        <v>54</v>
      </c>
      <c r="D82" s="18" t="s">
        <v>84</v>
      </c>
      <c r="E82" s="20">
        <v>4537.8</v>
      </c>
      <c r="F82" s="20"/>
      <c r="G82" s="20"/>
      <c r="H82" s="21"/>
      <c r="I82" s="20"/>
      <c r="J82" s="20"/>
      <c r="K82" s="20"/>
      <c r="L82" s="20"/>
      <c r="M82" s="20"/>
      <c r="N82" s="20"/>
      <c r="O82" s="20">
        <f t="shared" si="3"/>
        <v>4537.8</v>
      </c>
    </row>
    <row r="83" spans="1:15" s="16" customFormat="1" ht="31.5">
      <c r="A83" s="19" t="s">
        <v>234</v>
      </c>
      <c r="B83" s="19" t="s">
        <v>87</v>
      </c>
      <c r="C83" s="19" t="s">
        <v>54</v>
      </c>
      <c r="D83" s="18" t="s">
        <v>86</v>
      </c>
      <c r="E83" s="20">
        <v>7502.6</v>
      </c>
      <c r="F83" s="20"/>
      <c r="G83" s="20"/>
      <c r="H83" s="21"/>
      <c r="I83" s="20"/>
      <c r="J83" s="20"/>
      <c r="K83" s="20"/>
      <c r="L83" s="20"/>
      <c r="M83" s="20"/>
      <c r="N83" s="20"/>
      <c r="O83" s="20">
        <f t="shared" si="3"/>
        <v>7502.6</v>
      </c>
    </row>
    <row r="84" spans="1:15" s="16" customFormat="1" ht="31.5">
      <c r="A84" s="19" t="s">
        <v>235</v>
      </c>
      <c r="B84" s="19" t="s">
        <v>85</v>
      </c>
      <c r="C84" s="19" t="s">
        <v>54</v>
      </c>
      <c r="D84" s="18" t="s">
        <v>116</v>
      </c>
      <c r="E84" s="20">
        <v>383.3</v>
      </c>
      <c r="F84" s="20"/>
      <c r="G84" s="20"/>
      <c r="H84" s="21"/>
      <c r="I84" s="20"/>
      <c r="J84" s="20"/>
      <c r="K84" s="20"/>
      <c r="L84" s="20"/>
      <c r="M84" s="20"/>
      <c r="N84" s="20"/>
      <c r="O84" s="20">
        <f t="shared" si="3"/>
        <v>383.3</v>
      </c>
    </row>
    <row r="85" spans="1:15" s="16" customFormat="1" ht="31.5">
      <c r="A85" s="19" t="s">
        <v>236</v>
      </c>
      <c r="B85" s="19" t="s">
        <v>88</v>
      </c>
      <c r="C85" s="19" t="s">
        <v>54</v>
      </c>
      <c r="D85" s="18" t="s">
        <v>90</v>
      </c>
      <c r="E85" s="20">
        <v>6280.2</v>
      </c>
      <c r="F85" s="20"/>
      <c r="G85" s="20"/>
      <c r="H85" s="21"/>
      <c r="I85" s="20"/>
      <c r="J85" s="20"/>
      <c r="K85" s="20"/>
      <c r="L85" s="20"/>
      <c r="M85" s="20"/>
      <c r="N85" s="20"/>
      <c r="O85" s="24">
        <f t="shared" si="3"/>
        <v>6280.2</v>
      </c>
    </row>
    <row r="86" spans="1:15" s="16" customFormat="1" ht="47.25">
      <c r="A86" s="19" t="s">
        <v>302</v>
      </c>
      <c r="B86" s="19" t="s">
        <v>304</v>
      </c>
      <c r="C86" s="19" t="s">
        <v>42</v>
      </c>
      <c r="D86" s="12" t="s">
        <v>306</v>
      </c>
      <c r="E86" s="20">
        <v>9025.4</v>
      </c>
      <c r="F86" s="20"/>
      <c r="G86" s="20"/>
      <c r="H86" s="21"/>
      <c r="I86" s="20"/>
      <c r="J86" s="20"/>
      <c r="K86" s="20"/>
      <c r="L86" s="20"/>
      <c r="M86" s="20"/>
      <c r="N86" s="20"/>
      <c r="O86" s="20">
        <f t="shared" si="3"/>
        <v>9025.4</v>
      </c>
    </row>
    <row r="87" spans="1:15" s="16" customFormat="1" ht="63">
      <c r="A87" s="19" t="s">
        <v>302</v>
      </c>
      <c r="B87" s="19" t="s">
        <v>328</v>
      </c>
      <c r="C87" s="19" t="s">
        <v>42</v>
      </c>
      <c r="D87" s="12" t="s">
        <v>329</v>
      </c>
      <c r="E87" s="20">
        <v>3600</v>
      </c>
      <c r="F87" s="20"/>
      <c r="G87" s="20"/>
      <c r="H87" s="21"/>
      <c r="I87" s="20"/>
      <c r="J87" s="20"/>
      <c r="K87" s="20"/>
      <c r="L87" s="20"/>
      <c r="M87" s="20"/>
      <c r="N87" s="20"/>
      <c r="O87" s="20">
        <f t="shared" si="3"/>
        <v>3600</v>
      </c>
    </row>
    <row r="88" spans="1:15" s="16" customFormat="1" ht="47.25">
      <c r="A88" s="19" t="s">
        <v>303</v>
      </c>
      <c r="B88" s="19" t="s">
        <v>305</v>
      </c>
      <c r="C88" s="19" t="s">
        <v>42</v>
      </c>
      <c r="D88" s="12" t="s">
        <v>307</v>
      </c>
      <c r="E88" s="20">
        <v>1001.3</v>
      </c>
      <c r="F88" s="21"/>
      <c r="G88" s="21"/>
      <c r="H88" s="21"/>
      <c r="I88" s="21"/>
      <c r="J88" s="21"/>
      <c r="K88" s="21"/>
      <c r="L88" s="21"/>
      <c r="M88" s="21"/>
      <c r="N88" s="21"/>
      <c r="O88" s="21">
        <f t="shared" si="3"/>
        <v>1001.3</v>
      </c>
    </row>
    <row r="89" spans="1:15" s="16" customFormat="1" ht="63">
      <c r="A89" s="19" t="s">
        <v>250</v>
      </c>
      <c r="B89" s="19" t="s">
        <v>249</v>
      </c>
      <c r="C89" s="19" t="s">
        <v>44</v>
      </c>
      <c r="D89" s="12" t="s">
        <v>308</v>
      </c>
      <c r="E89" s="20">
        <f>5348.1+57.3</f>
        <v>5405.4000000000005</v>
      </c>
      <c r="F89" s="20">
        <f>4242.5+943.2</f>
        <v>5185.7</v>
      </c>
      <c r="G89" s="20">
        <v>52.4</v>
      </c>
      <c r="H89" s="20">
        <f>I89+L89</f>
        <v>14</v>
      </c>
      <c r="I89" s="20"/>
      <c r="J89" s="20"/>
      <c r="K89" s="20"/>
      <c r="L89" s="20">
        <v>14</v>
      </c>
      <c r="M89" s="20"/>
      <c r="N89" s="20"/>
      <c r="O89" s="20">
        <f t="shared" si="3"/>
        <v>5419.4000000000005</v>
      </c>
    </row>
    <row r="90" spans="1:15" s="99" customFormat="1" ht="47.25">
      <c r="A90" s="19" t="s">
        <v>148</v>
      </c>
      <c r="B90" s="19" t="s">
        <v>147</v>
      </c>
      <c r="C90" s="19" t="s">
        <v>54</v>
      </c>
      <c r="D90" s="12" t="s">
        <v>149</v>
      </c>
      <c r="E90" s="28">
        <f>1630.3+1417.9+24.5</f>
        <v>3072.7</v>
      </c>
      <c r="F90" s="28">
        <f>1172.5+262.9</f>
        <v>1435.4</v>
      </c>
      <c r="G90" s="28">
        <v>109.3</v>
      </c>
      <c r="H90" s="21"/>
      <c r="I90" s="20"/>
      <c r="J90" s="20"/>
      <c r="K90" s="20"/>
      <c r="L90" s="20"/>
      <c r="M90" s="20"/>
      <c r="N90" s="20"/>
      <c r="O90" s="20">
        <f t="shared" si="3"/>
        <v>3072.7</v>
      </c>
    </row>
    <row r="91" spans="1:15" s="16" customFormat="1" ht="94.5">
      <c r="A91" s="19" t="s">
        <v>309</v>
      </c>
      <c r="B91" s="19" t="s">
        <v>310</v>
      </c>
      <c r="C91" s="19" t="s">
        <v>42</v>
      </c>
      <c r="D91" s="12" t="s">
        <v>311</v>
      </c>
      <c r="E91" s="28">
        <v>520</v>
      </c>
      <c r="F91" s="28"/>
      <c r="G91" s="28"/>
      <c r="H91" s="20"/>
      <c r="I91" s="20"/>
      <c r="J91" s="20"/>
      <c r="K91" s="20"/>
      <c r="L91" s="20"/>
      <c r="M91" s="20"/>
      <c r="N91" s="20"/>
      <c r="O91" s="20">
        <v>520</v>
      </c>
    </row>
    <row r="92" spans="1:15" s="16" customFormat="1" ht="94.5">
      <c r="A92" s="19" t="s">
        <v>312</v>
      </c>
      <c r="B92" s="19" t="s">
        <v>313</v>
      </c>
      <c r="C92" s="19" t="s">
        <v>68</v>
      </c>
      <c r="D92" s="12" t="s">
        <v>314</v>
      </c>
      <c r="E92" s="20">
        <v>850</v>
      </c>
      <c r="F92" s="20"/>
      <c r="G92" s="20"/>
      <c r="H92" s="20"/>
      <c r="I92" s="20"/>
      <c r="J92" s="20"/>
      <c r="K92" s="20"/>
      <c r="L92" s="20"/>
      <c r="M92" s="20"/>
      <c r="N92" s="20"/>
      <c r="O92" s="20">
        <f t="shared" si="3"/>
        <v>850</v>
      </c>
    </row>
    <row r="93" spans="1:15" s="16" customFormat="1" ht="47.25">
      <c r="A93" s="19" t="s">
        <v>315</v>
      </c>
      <c r="B93" s="19" t="s">
        <v>316</v>
      </c>
      <c r="C93" s="19" t="s">
        <v>47</v>
      </c>
      <c r="D93" s="12" t="s">
        <v>317</v>
      </c>
      <c r="E93" s="20">
        <f>50</f>
        <v>50</v>
      </c>
      <c r="F93" s="20"/>
      <c r="G93" s="20"/>
      <c r="H93" s="20"/>
      <c r="I93" s="20"/>
      <c r="J93" s="20"/>
      <c r="K93" s="20"/>
      <c r="L93" s="20"/>
      <c r="M93" s="20"/>
      <c r="N93" s="20"/>
      <c r="O93" s="20">
        <f t="shared" si="3"/>
        <v>50</v>
      </c>
    </row>
    <row r="94" spans="1:15" s="16" customFormat="1" ht="31.5">
      <c r="A94" s="19" t="s">
        <v>322</v>
      </c>
      <c r="B94" s="19" t="s">
        <v>318</v>
      </c>
      <c r="C94" s="19" t="s">
        <v>33</v>
      </c>
      <c r="D94" s="12" t="s">
        <v>319</v>
      </c>
      <c r="E94" s="20">
        <f>9496.4+5000</f>
        <v>14496.4</v>
      </c>
      <c r="F94" s="20"/>
      <c r="G94" s="20"/>
      <c r="H94" s="20"/>
      <c r="I94" s="20"/>
      <c r="J94" s="20"/>
      <c r="K94" s="20"/>
      <c r="L94" s="20"/>
      <c r="M94" s="20"/>
      <c r="N94" s="20"/>
      <c r="O94" s="20">
        <f>E94+H94</f>
        <v>14496.4</v>
      </c>
    </row>
    <row r="95" spans="1:15" s="16" customFormat="1" ht="31.5">
      <c r="A95" s="25" t="s">
        <v>153</v>
      </c>
      <c r="B95" s="19"/>
      <c r="C95" s="19"/>
      <c r="D95" s="26" t="s">
        <v>21</v>
      </c>
      <c r="E95" s="21">
        <f>E96</f>
        <v>1205.5</v>
      </c>
      <c r="F95" s="21">
        <f>F96</f>
        <v>980</v>
      </c>
      <c r="G95" s="20"/>
      <c r="H95" s="21">
        <f>H96</f>
        <v>20</v>
      </c>
      <c r="I95" s="21">
        <f t="shared" ref="I95:N95" si="14">I96</f>
        <v>0</v>
      </c>
      <c r="J95" s="21">
        <f t="shared" si="14"/>
        <v>0</v>
      </c>
      <c r="K95" s="21">
        <f t="shared" si="14"/>
        <v>0</v>
      </c>
      <c r="L95" s="21">
        <f t="shared" si="14"/>
        <v>20</v>
      </c>
      <c r="M95" s="21">
        <f t="shared" si="14"/>
        <v>20</v>
      </c>
      <c r="N95" s="21">
        <f t="shared" si="14"/>
        <v>20</v>
      </c>
      <c r="O95" s="21">
        <f>O96</f>
        <v>1225.5</v>
      </c>
    </row>
    <row r="96" spans="1:15" s="16" customFormat="1" ht="31.5">
      <c r="A96" s="25" t="s">
        <v>154</v>
      </c>
      <c r="B96" s="19"/>
      <c r="C96" s="19"/>
      <c r="D96" s="26" t="s">
        <v>21</v>
      </c>
      <c r="E96" s="21">
        <f>E97+E98+E99</f>
        <v>1205.5</v>
      </c>
      <c r="F96" s="21">
        <f>F97+F98+F99</f>
        <v>980</v>
      </c>
      <c r="G96" s="21"/>
      <c r="H96" s="21">
        <f>I96+L96</f>
        <v>20</v>
      </c>
      <c r="I96" s="21">
        <f t="shared" ref="I96:N96" si="15">I97+I98+I99</f>
        <v>0</v>
      </c>
      <c r="J96" s="21">
        <f t="shared" si="15"/>
        <v>0</v>
      </c>
      <c r="K96" s="21">
        <f t="shared" si="15"/>
        <v>0</v>
      </c>
      <c r="L96" s="21">
        <f t="shared" si="15"/>
        <v>20</v>
      </c>
      <c r="M96" s="21">
        <f t="shared" si="15"/>
        <v>20</v>
      </c>
      <c r="N96" s="21">
        <f t="shared" si="15"/>
        <v>20</v>
      </c>
      <c r="O96" s="21">
        <f t="shared" ref="O96:O118" si="16">E96+H96</f>
        <v>1225.5</v>
      </c>
    </row>
    <row r="97" spans="1:15" s="16" customFormat="1" ht="47.25">
      <c r="A97" s="19" t="s">
        <v>155</v>
      </c>
      <c r="B97" s="19" t="s">
        <v>124</v>
      </c>
      <c r="C97" s="19" t="s">
        <v>32</v>
      </c>
      <c r="D97" s="18" t="s">
        <v>126</v>
      </c>
      <c r="E97" s="20">
        <v>1001.9</v>
      </c>
      <c r="F97" s="20">
        <f>803+177</f>
        <v>980</v>
      </c>
      <c r="G97" s="20"/>
      <c r="H97" s="20">
        <f>I97+L97</f>
        <v>20</v>
      </c>
      <c r="I97" s="20"/>
      <c r="J97" s="20"/>
      <c r="K97" s="20"/>
      <c r="L97" s="20">
        <v>20</v>
      </c>
      <c r="M97" s="20">
        <v>20</v>
      </c>
      <c r="N97" s="20">
        <v>20</v>
      </c>
      <c r="O97" s="20">
        <f t="shared" si="16"/>
        <v>1021.9</v>
      </c>
    </row>
    <row r="98" spans="1:15" s="99" customFormat="1" ht="31.5">
      <c r="A98" s="19" t="s">
        <v>156</v>
      </c>
      <c r="B98" s="19" t="s">
        <v>93</v>
      </c>
      <c r="C98" s="19" t="s">
        <v>54</v>
      </c>
      <c r="D98" s="12" t="s">
        <v>103</v>
      </c>
      <c r="E98" s="20">
        <v>33.6</v>
      </c>
      <c r="F98" s="20"/>
      <c r="G98" s="20"/>
      <c r="H98" s="20"/>
      <c r="I98" s="20"/>
      <c r="J98" s="20"/>
      <c r="K98" s="20"/>
      <c r="L98" s="20"/>
      <c r="M98" s="20"/>
      <c r="N98" s="20"/>
      <c r="O98" s="20">
        <f t="shared" si="16"/>
        <v>33.6</v>
      </c>
    </row>
    <row r="99" spans="1:15" s="16" customFormat="1" ht="78.75">
      <c r="A99" s="19" t="s">
        <v>157</v>
      </c>
      <c r="B99" s="19" t="s">
        <v>61</v>
      </c>
      <c r="C99" s="19" t="s">
        <v>54</v>
      </c>
      <c r="D99" s="11" t="s">
        <v>55</v>
      </c>
      <c r="E99" s="20">
        <v>170</v>
      </c>
      <c r="F99" s="20"/>
      <c r="G99" s="20"/>
      <c r="H99" s="20"/>
      <c r="I99" s="20"/>
      <c r="J99" s="20"/>
      <c r="K99" s="20"/>
      <c r="L99" s="20"/>
      <c r="M99" s="20"/>
      <c r="N99" s="20"/>
      <c r="O99" s="20">
        <f t="shared" si="16"/>
        <v>170</v>
      </c>
    </row>
    <row r="100" spans="1:15" s="95" customFormat="1" ht="31.5">
      <c r="A100" s="25" t="s">
        <v>158</v>
      </c>
      <c r="B100" s="25"/>
      <c r="C100" s="25"/>
      <c r="D100" s="26" t="s">
        <v>15</v>
      </c>
      <c r="E100" s="21">
        <f>E101</f>
        <v>26401.219999999998</v>
      </c>
      <c r="F100" s="21">
        <f t="shared" ref="F100:O100" si="17">F101</f>
        <v>21873.899999999998</v>
      </c>
      <c r="G100" s="21">
        <f t="shared" si="17"/>
        <v>1699.2</v>
      </c>
      <c r="H100" s="21">
        <f>H101</f>
        <v>4498</v>
      </c>
      <c r="I100" s="21">
        <f t="shared" si="17"/>
        <v>805</v>
      </c>
      <c r="J100" s="21">
        <f t="shared" si="17"/>
        <v>233.8</v>
      </c>
      <c r="K100" s="21">
        <f t="shared" si="17"/>
        <v>0</v>
      </c>
      <c r="L100" s="21">
        <f t="shared" si="17"/>
        <v>3693</v>
      </c>
      <c r="M100" s="21">
        <f t="shared" si="17"/>
        <v>3643</v>
      </c>
      <c r="N100" s="21">
        <f t="shared" si="17"/>
        <v>3643</v>
      </c>
      <c r="O100" s="21">
        <f t="shared" si="17"/>
        <v>30899.219999999998</v>
      </c>
    </row>
    <row r="101" spans="1:15" s="16" customFormat="1" ht="31.5">
      <c r="A101" s="19" t="s">
        <v>159</v>
      </c>
      <c r="B101" s="19"/>
      <c r="C101" s="19"/>
      <c r="D101" s="26" t="s">
        <v>15</v>
      </c>
      <c r="E101" s="21">
        <f>E102+E104+E105+E106+E103+E107+E108</f>
        <v>26401.219999999998</v>
      </c>
      <c r="F101" s="21">
        <f t="shared" ref="F101:N101" si="18">F102+F104+F105+F106+F103+F107+F108</f>
        <v>21873.899999999998</v>
      </c>
      <c r="G101" s="21">
        <f t="shared" si="18"/>
        <v>1699.2</v>
      </c>
      <c r="H101" s="21">
        <f>I101+L101</f>
        <v>4498</v>
      </c>
      <c r="I101" s="21">
        <f t="shared" si="18"/>
        <v>805</v>
      </c>
      <c r="J101" s="21">
        <f t="shared" si="18"/>
        <v>233.8</v>
      </c>
      <c r="K101" s="21">
        <f t="shared" si="18"/>
        <v>0</v>
      </c>
      <c r="L101" s="21">
        <f t="shared" si="18"/>
        <v>3693</v>
      </c>
      <c r="M101" s="21">
        <f t="shared" si="18"/>
        <v>3643</v>
      </c>
      <c r="N101" s="21">
        <f t="shared" si="18"/>
        <v>3643</v>
      </c>
      <c r="O101" s="21">
        <f t="shared" si="16"/>
        <v>30899.219999999998</v>
      </c>
    </row>
    <row r="102" spans="1:15" s="16" customFormat="1" ht="47.25">
      <c r="A102" s="19" t="s">
        <v>160</v>
      </c>
      <c r="B102" s="19" t="s">
        <v>124</v>
      </c>
      <c r="C102" s="19" t="s">
        <v>32</v>
      </c>
      <c r="D102" s="18" t="s">
        <v>126</v>
      </c>
      <c r="E102" s="20">
        <v>468</v>
      </c>
      <c r="F102" s="20">
        <f>377+83</f>
        <v>460</v>
      </c>
      <c r="G102" s="20"/>
      <c r="H102" s="21"/>
      <c r="I102" s="20"/>
      <c r="J102" s="20"/>
      <c r="K102" s="20"/>
      <c r="L102" s="20"/>
      <c r="M102" s="20"/>
      <c r="N102" s="20"/>
      <c r="O102" s="20">
        <f t="shared" si="16"/>
        <v>468</v>
      </c>
    </row>
    <row r="103" spans="1:15" s="16" customFormat="1" ht="63">
      <c r="A103" s="19" t="s">
        <v>170</v>
      </c>
      <c r="B103" s="19" t="s">
        <v>169</v>
      </c>
      <c r="C103" s="19" t="s">
        <v>50</v>
      </c>
      <c r="D103" s="18" t="s">
        <v>171</v>
      </c>
      <c r="E103" s="20">
        <v>11629</v>
      </c>
      <c r="F103" s="20">
        <f>9288.6+2043.5</f>
        <v>11332.1</v>
      </c>
      <c r="G103" s="20">
        <v>282.5</v>
      </c>
      <c r="H103" s="20">
        <f>I103+L103</f>
        <v>749</v>
      </c>
      <c r="I103" s="20">
        <f>629-50</f>
        <v>579</v>
      </c>
      <c r="J103" s="20">
        <f>159.8+35</f>
        <v>194.8</v>
      </c>
      <c r="K103" s="20"/>
      <c r="L103" s="20">
        <f>170</f>
        <v>170</v>
      </c>
      <c r="M103" s="20">
        <f>120</f>
        <v>120</v>
      </c>
      <c r="N103" s="20">
        <f>120</f>
        <v>120</v>
      </c>
      <c r="O103" s="20">
        <f t="shared" si="16"/>
        <v>12378</v>
      </c>
    </row>
    <row r="104" spans="1:15" s="16" customFormat="1" ht="15.75">
      <c r="A104" s="19" t="s">
        <v>162</v>
      </c>
      <c r="B104" s="19" t="s">
        <v>161</v>
      </c>
      <c r="C104" s="19" t="s">
        <v>95</v>
      </c>
      <c r="D104" s="12" t="s">
        <v>163</v>
      </c>
      <c r="E104" s="28">
        <f>4974.3+50</f>
        <v>5024.3</v>
      </c>
      <c r="F104" s="28">
        <f>3074.3+676.3</f>
        <v>3750.6000000000004</v>
      </c>
      <c r="G104" s="28">
        <v>558.29999999999995</v>
      </c>
      <c r="H104" s="20">
        <f>I104+L104</f>
        <v>754.5</v>
      </c>
      <c r="I104" s="28">
        <v>54.5</v>
      </c>
      <c r="J104" s="28"/>
      <c r="K104" s="28"/>
      <c r="L104" s="28">
        <f>85+15+600</f>
        <v>700</v>
      </c>
      <c r="M104" s="28">
        <f>100+600</f>
        <v>700</v>
      </c>
      <c r="N104" s="28">
        <f>100+600</f>
        <v>700</v>
      </c>
      <c r="O104" s="28">
        <f t="shared" si="16"/>
        <v>5778.8</v>
      </c>
    </row>
    <row r="105" spans="1:15" s="16" customFormat="1" ht="15.75">
      <c r="A105" s="19" t="s">
        <v>165</v>
      </c>
      <c r="B105" s="19" t="s">
        <v>164</v>
      </c>
      <c r="C105" s="19" t="s">
        <v>95</v>
      </c>
      <c r="D105" s="12" t="s">
        <v>166</v>
      </c>
      <c r="E105" s="28">
        <f>1542.4+28.72</f>
        <v>1571.1200000000001</v>
      </c>
      <c r="F105" s="28">
        <f>978+215.2</f>
        <v>1193.2</v>
      </c>
      <c r="G105" s="28">
        <v>232.2</v>
      </c>
      <c r="H105" s="20">
        <f>I105+L105</f>
        <v>121.5</v>
      </c>
      <c r="I105" s="28">
        <v>31.5</v>
      </c>
      <c r="J105" s="28"/>
      <c r="K105" s="28"/>
      <c r="L105" s="28">
        <f>90</f>
        <v>90</v>
      </c>
      <c r="M105" s="28">
        <f>90</f>
        <v>90</v>
      </c>
      <c r="N105" s="28">
        <f>90</f>
        <v>90</v>
      </c>
      <c r="O105" s="28">
        <f t="shared" si="16"/>
        <v>1692.6200000000001</v>
      </c>
    </row>
    <row r="106" spans="1:15" s="16" customFormat="1" ht="47.25">
      <c r="A106" s="19" t="s">
        <v>167</v>
      </c>
      <c r="B106" s="19" t="s">
        <v>94</v>
      </c>
      <c r="C106" s="19" t="s">
        <v>96</v>
      </c>
      <c r="D106" s="12" t="s">
        <v>168</v>
      </c>
      <c r="E106" s="28">
        <f>5500.7+120</f>
        <v>5620.7</v>
      </c>
      <c r="F106" s="28">
        <f>3548.9+780.8</f>
        <v>4329.7</v>
      </c>
      <c r="G106" s="28">
        <v>600</v>
      </c>
      <c r="H106" s="20">
        <f>I106+L106</f>
        <v>2843</v>
      </c>
      <c r="I106" s="28">
        <f>105+12.6+16+6.4</f>
        <v>140</v>
      </c>
      <c r="J106" s="28">
        <f>32+7</f>
        <v>39</v>
      </c>
      <c r="K106" s="28"/>
      <c r="L106" s="28">
        <f>1000+15+40+10+10+120+8+1000+200+300</f>
        <v>2703</v>
      </c>
      <c r="M106" s="28">
        <f>2403+300</f>
        <v>2703</v>
      </c>
      <c r="N106" s="28">
        <f>2403+300</f>
        <v>2703</v>
      </c>
      <c r="O106" s="28">
        <f t="shared" si="16"/>
        <v>8463.7000000000007</v>
      </c>
    </row>
    <row r="107" spans="1:15" s="16" customFormat="1" ht="31.5">
      <c r="A107" s="19" t="s">
        <v>323</v>
      </c>
      <c r="B107" s="19" t="s">
        <v>288</v>
      </c>
      <c r="C107" s="19" t="s">
        <v>97</v>
      </c>
      <c r="D107" s="12" t="s">
        <v>289</v>
      </c>
      <c r="E107" s="28">
        <v>882.1</v>
      </c>
      <c r="F107" s="28">
        <v>808.3</v>
      </c>
      <c r="G107" s="28">
        <v>26.2</v>
      </c>
      <c r="H107" s="20">
        <f>I107+L107</f>
        <v>30</v>
      </c>
      <c r="I107" s="28"/>
      <c r="J107" s="28"/>
      <c r="K107" s="28"/>
      <c r="L107" s="28">
        <v>30</v>
      </c>
      <c r="M107" s="28">
        <v>30</v>
      </c>
      <c r="N107" s="28">
        <v>30</v>
      </c>
      <c r="O107" s="28">
        <f t="shared" si="16"/>
        <v>912.1</v>
      </c>
    </row>
    <row r="108" spans="1:15" s="16" customFormat="1" ht="15.75">
      <c r="A108" s="19" t="s">
        <v>286</v>
      </c>
      <c r="B108" s="19" t="s">
        <v>287</v>
      </c>
      <c r="C108" s="19" t="s">
        <v>97</v>
      </c>
      <c r="D108" s="12" t="s">
        <v>290</v>
      </c>
      <c r="E108" s="28">
        <f>1121+85</f>
        <v>1206</v>
      </c>
      <c r="F108" s="28"/>
      <c r="G108" s="28"/>
      <c r="H108" s="20"/>
      <c r="I108" s="28"/>
      <c r="J108" s="28"/>
      <c r="K108" s="28"/>
      <c r="L108" s="28"/>
      <c r="M108" s="28"/>
      <c r="N108" s="28"/>
      <c r="O108" s="28">
        <f t="shared" si="16"/>
        <v>1206</v>
      </c>
    </row>
    <row r="109" spans="1:15" s="16" customFormat="1" ht="47.25">
      <c r="A109" s="25" t="s">
        <v>59</v>
      </c>
      <c r="B109" s="25"/>
      <c r="C109" s="25"/>
      <c r="D109" s="26" t="s">
        <v>18</v>
      </c>
      <c r="E109" s="100">
        <f>E110</f>
        <v>3368.9199999999996</v>
      </c>
      <c r="F109" s="100">
        <f>F110</f>
        <v>1026</v>
      </c>
      <c r="G109" s="100">
        <f>G110</f>
        <v>0</v>
      </c>
      <c r="H109" s="100">
        <f>H110</f>
        <v>10</v>
      </c>
      <c r="I109" s="100">
        <f t="shared" ref="I109:N109" si="19">I110</f>
        <v>0</v>
      </c>
      <c r="J109" s="100">
        <f t="shared" si="19"/>
        <v>0</v>
      </c>
      <c r="K109" s="100">
        <f t="shared" si="19"/>
        <v>0</v>
      </c>
      <c r="L109" s="100">
        <f t="shared" si="19"/>
        <v>10</v>
      </c>
      <c r="M109" s="100">
        <f t="shared" si="19"/>
        <v>10</v>
      </c>
      <c r="N109" s="100">
        <f t="shared" si="19"/>
        <v>10</v>
      </c>
      <c r="O109" s="21">
        <f t="shared" si="16"/>
        <v>3378.9199999999996</v>
      </c>
    </row>
    <row r="110" spans="1:15" s="16" customFormat="1" ht="47.25">
      <c r="A110" s="25" t="s">
        <v>60</v>
      </c>
      <c r="B110" s="25"/>
      <c r="C110" s="25"/>
      <c r="D110" s="26" t="s">
        <v>18</v>
      </c>
      <c r="E110" s="21">
        <f>E111+E113+E114+E115+E116+E117+E112</f>
        <v>3368.9199999999996</v>
      </c>
      <c r="F110" s="21">
        <f t="shared" ref="F110:N110" si="20">F111+F113+F114+F115+F116+F117+F112</f>
        <v>1026</v>
      </c>
      <c r="G110" s="21">
        <f t="shared" si="20"/>
        <v>0</v>
      </c>
      <c r="H110" s="21">
        <f>I110+L110</f>
        <v>10</v>
      </c>
      <c r="I110" s="21">
        <f t="shared" si="20"/>
        <v>0</v>
      </c>
      <c r="J110" s="21">
        <f t="shared" si="20"/>
        <v>0</v>
      </c>
      <c r="K110" s="21">
        <f t="shared" si="20"/>
        <v>0</v>
      </c>
      <c r="L110" s="21">
        <f t="shared" si="20"/>
        <v>10</v>
      </c>
      <c r="M110" s="21">
        <f t="shared" si="20"/>
        <v>10</v>
      </c>
      <c r="N110" s="21">
        <f t="shared" si="20"/>
        <v>10</v>
      </c>
      <c r="O110" s="21">
        <f t="shared" si="16"/>
        <v>3378.9199999999996</v>
      </c>
    </row>
    <row r="111" spans="1:15" s="16" customFormat="1" ht="47.25">
      <c r="A111" s="19" t="s">
        <v>172</v>
      </c>
      <c r="B111" s="19" t="s">
        <v>124</v>
      </c>
      <c r="C111" s="19" t="s">
        <v>32</v>
      </c>
      <c r="D111" s="18" t="s">
        <v>126</v>
      </c>
      <c r="E111" s="20">
        <f>1060.3+198.72</f>
        <v>1259.02</v>
      </c>
      <c r="F111" s="20">
        <f>841+185</f>
        <v>1026</v>
      </c>
      <c r="G111" s="20"/>
      <c r="H111" s="28">
        <f>I111+L111</f>
        <v>10</v>
      </c>
      <c r="I111" s="21"/>
      <c r="J111" s="21"/>
      <c r="K111" s="21"/>
      <c r="L111" s="20">
        <v>10</v>
      </c>
      <c r="M111" s="20">
        <v>10</v>
      </c>
      <c r="N111" s="20">
        <v>10</v>
      </c>
      <c r="O111" s="21">
        <f t="shared" si="16"/>
        <v>1269.02</v>
      </c>
    </row>
    <row r="112" spans="1:15" s="16" customFormat="1" ht="15.75">
      <c r="A112" s="19" t="s">
        <v>174</v>
      </c>
      <c r="B112" s="19" t="s">
        <v>173</v>
      </c>
      <c r="C112" s="19" t="s">
        <v>54</v>
      </c>
      <c r="D112" s="12" t="s">
        <v>63</v>
      </c>
      <c r="E112" s="20">
        <v>271.10000000000002</v>
      </c>
      <c r="F112" s="20"/>
      <c r="G112" s="20"/>
      <c r="H112" s="28"/>
      <c r="I112" s="21"/>
      <c r="J112" s="21"/>
      <c r="K112" s="21"/>
      <c r="L112" s="20"/>
      <c r="M112" s="20"/>
      <c r="N112" s="20"/>
      <c r="O112" s="21"/>
    </row>
    <row r="113" spans="1:15" s="16" customFormat="1" ht="15.75">
      <c r="A113" s="19" t="s">
        <v>176</v>
      </c>
      <c r="B113" s="19" t="s">
        <v>175</v>
      </c>
      <c r="C113" s="19" t="s">
        <v>54</v>
      </c>
      <c r="D113" s="12" t="s">
        <v>111</v>
      </c>
      <c r="E113" s="20">
        <v>591.5</v>
      </c>
      <c r="F113" s="20"/>
      <c r="G113" s="20"/>
      <c r="H113" s="20"/>
      <c r="I113" s="20"/>
      <c r="J113" s="20"/>
      <c r="K113" s="20"/>
      <c r="L113" s="20"/>
      <c r="M113" s="20"/>
      <c r="N113" s="20"/>
      <c r="O113" s="21">
        <f t="shared" si="16"/>
        <v>591.5</v>
      </c>
    </row>
    <row r="114" spans="1:15" s="16" customFormat="1" ht="78.75">
      <c r="A114" s="19" t="s">
        <v>62</v>
      </c>
      <c r="B114" s="19" t="s">
        <v>61</v>
      </c>
      <c r="C114" s="19" t="s">
        <v>54</v>
      </c>
      <c r="D114" s="11" t="s">
        <v>55</v>
      </c>
      <c r="E114" s="20">
        <v>217.5</v>
      </c>
      <c r="F114" s="20"/>
      <c r="G114" s="20"/>
      <c r="H114" s="20"/>
      <c r="I114" s="20"/>
      <c r="J114" s="20"/>
      <c r="K114" s="20"/>
      <c r="L114" s="20"/>
      <c r="M114" s="20"/>
      <c r="N114" s="20"/>
      <c r="O114" s="21">
        <f t="shared" si="16"/>
        <v>217.5</v>
      </c>
    </row>
    <row r="115" spans="1:15" s="16" customFormat="1" ht="31.5">
      <c r="A115" s="19" t="s">
        <v>65</v>
      </c>
      <c r="B115" s="19" t="s">
        <v>64</v>
      </c>
      <c r="C115" s="19" t="s">
        <v>56</v>
      </c>
      <c r="D115" s="12" t="s">
        <v>102</v>
      </c>
      <c r="E115" s="20">
        <v>300</v>
      </c>
      <c r="F115" s="20"/>
      <c r="G115" s="20"/>
      <c r="H115" s="20"/>
      <c r="I115" s="20"/>
      <c r="J115" s="20"/>
      <c r="K115" s="20"/>
      <c r="L115" s="20"/>
      <c r="M115" s="20"/>
      <c r="N115" s="20"/>
      <c r="O115" s="21">
        <f t="shared" si="16"/>
        <v>300</v>
      </c>
    </row>
    <row r="116" spans="1:15" s="16" customFormat="1" ht="31.5">
      <c r="A116" s="19" t="s">
        <v>104</v>
      </c>
      <c r="B116" s="19" t="s">
        <v>105</v>
      </c>
      <c r="C116" s="19" t="s">
        <v>56</v>
      </c>
      <c r="D116" s="12" t="s">
        <v>106</v>
      </c>
      <c r="E116" s="20">
        <v>200</v>
      </c>
      <c r="F116" s="20"/>
      <c r="G116" s="20"/>
      <c r="H116" s="20"/>
      <c r="I116" s="20"/>
      <c r="J116" s="20"/>
      <c r="K116" s="20"/>
      <c r="L116" s="20"/>
      <c r="M116" s="20"/>
      <c r="N116" s="20"/>
      <c r="O116" s="21">
        <f t="shared" si="16"/>
        <v>200</v>
      </c>
    </row>
    <row r="117" spans="1:15" s="16" customFormat="1" ht="63">
      <c r="A117" s="19" t="s">
        <v>112</v>
      </c>
      <c r="B117" s="19" t="s">
        <v>113</v>
      </c>
      <c r="C117" s="19" t="s">
        <v>56</v>
      </c>
      <c r="D117" s="18" t="s">
        <v>114</v>
      </c>
      <c r="E117" s="20">
        <v>529.79999999999995</v>
      </c>
      <c r="F117" s="20"/>
      <c r="G117" s="20"/>
      <c r="H117" s="20"/>
      <c r="I117" s="20"/>
      <c r="J117" s="20"/>
      <c r="K117" s="20"/>
      <c r="L117" s="20"/>
      <c r="M117" s="20"/>
      <c r="N117" s="20"/>
      <c r="O117" s="21">
        <f t="shared" si="16"/>
        <v>529.79999999999995</v>
      </c>
    </row>
    <row r="118" spans="1:15" s="95" customFormat="1" ht="47.25">
      <c r="A118" s="25" t="s">
        <v>177</v>
      </c>
      <c r="B118" s="25"/>
      <c r="C118" s="25"/>
      <c r="D118" s="26" t="s">
        <v>22</v>
      </c>
      <c r="E118" s="100">
        <f>E119</f>
        <v>58557.400000000009</v>
      </c>
      <c r="F118" s="100">
        <f t="shared" ref="F118:N118" si="21">F119</f>
        <v>1382</v>
      </c>
      <c r="G118" s="100">
        <f t="shared" si="21"/>
        <v>0</v>
      </c>
      <c r="H118" s="100">
        <f t="shared" si="21"/>
        <v>67373.198000000004</v>
      </c>
      <c r="I118" s="100">
        <f t="shared" si="21"/>
        <v>99.3</v>
      </c>
      <c r="J118" s="100">
        <f t="shared" si="21"/>
        <v>0</v>
      </c>
      <c r="K118" s="100">
        <f t="shared" si="21"/>
        <v>0</v>
      </c>
      <c r="L118" s="100">
        <f t="shared" si="21"/>
        <v>67273.898000000001</v>
      </c>
      <c r="M118" s="100">
        <f t="shared" si="21"/>
        <v>67273.898000000001</v>
      </c>
      <c r="N118" s="100">
        <f t="shared" si="21"/>
        <v>61273.898000000001</v>
      </c>
      <c r="O118" s="100">
        <f t="shared" si="16"/>
        <v>125930.59800000001</v>
      </c>
    </row>
    <row r="119" spans="1:15" s="16" customFormat="1" ht="47.25">
      <c r="A119" s="25" t="s">
        <v>178</v>
      </c>
      <c r="B119" s="19"/>
      <c r="C119" s="19"/>
      <c r="D119" s="26" t="s">
        <v>22</v>
      </c>
      <c r="E119" s="21">
        <f>E120+E121+E122+E123+E124+E125+E126+E127+E128+E129+E130+E131+E132+E133+E134</f>
        <v>58557.400000000009</v>
      </c>
      <c r="F119" s="21">
        <f t="shared" ref="F119:N119" si="22">F120+F121+F122+F123+F124+F125+F126+F127+F128+F129+F130+F131+F132+F133+F134</f>
        <v>1382</v>
      </c>
      <c r="G119" s="21">
        <f t="shared" si="22"/>
        <v>0</v>
      </c>
      <c r="H119" s="21">
        <f t="shared" si="22"/>
        <v>67373.198000000004</v>
      </c>
      <c r="I119" s="21">
        <f t="shared" si="22"/>
        <v>99.3</v>
      </c>
      <c r="J119" s="21">
        <f t="shared" si="22"/>
        <v>0</v>
      </c>
      <c r="K119" s="21">
        <f t="shared" si="22"/>
        <v>0</v>
      </c>
      <c r="L119" s="21">
        <f t="shared" si="22"/>
        <v>67273.898000000001</v>
      </c>
      <c r="M119" s="21">
        <f t="shared" si="22"/>
        <v>67273.898000000001</v>
      </c>
      <c r="N119" s="21">
        <f t="shared" si="22"/>
        <v>61273.898000000001</v>
      </c>
      <c r="O119" s="100">
        <f>E119+H119</f>
        <v>125930.59800000001</v>
      </c>
    </row>
    <row r="120" spans="1:15" s="16" customFormat="1" ht="47.25">
      <c r="A120" s="19" t="s">
        <v>179</v>
      </c>
      <c r="B120" s="19" t="s">
        <v>124</v>
      </c>
      <c r="C120" s="19" t="s">
        <v>32</v>
      </c>
      <c r="D120" s="18" t="s">
        <v>126</v>
      </c>
      <c r="E120" s="20">
        <v>1513.9</v>
      </c>
      <c r="F120" s="20">
        <f>1133+249</f>
        <v>1382</v>
      </c>
      <c r="G120" s="20"/>
      <c r="H120" s="20">
        <f t="shared" ref="H120:H134" si="23">I120+L120</f>
        <v>10</v>
      </c>
      <c r="I120" s="20"/>
      <c r="J120" s="20"/>
      <c r="K120" s="20"/>
      <c r="L120" s="20">
        <v>10</v>
      </c>
      <c r="M120" s="20">
        <v>10</v>
      </c>
      <c r="N120" s="20">
        <v>10</v>
      </c>
      <c r="O120" s="20">
        <f>E120+H120</f>
        <v>1523.9</v>
      </c>
    </row>
    <row r="121" spans="1:15" s="16" customFormat="1" ht="15.75">
      <c r="A121" s="19" t="s">
        <v>301</v>
      </c>
      <c r="B121" s="19" t="s">
        <v>300</v>
      </c>
      <c r="C121" s="19" t="s">
        <v>252</v>
      </c>
      <c r="D121" s="18" t="s">
        <v>253</v>
      </c>
      <c r="E121" s="20">
        <v>50</v>
      </c>
      <c r="F121" s="20"/>
      <c r="G121" s="20"/>
      <c r="H121" s="21"/>
      <c r="I121" s="20"/>
      <c r="J121" s="20"/>
      <c r="K121" s="20"/>
      <c r="L121" s="20"/>
      <c r="M121" s="20"/>
      <c r="N121" s="20"/>
      <c r="O121" s="20">
        <f>E121+H121</f>
        <v>50</v>
      </c>
    </row>
    <row r="122" spans="1:15" s="16" customFormat="1" ht="31.5">
      <c r="A122" s="19" t="s">
        <v>201</v>
      </c>
      <c r="B122" s="19" t="s">
        <v>200</v>
      </c>
      <c r="C122" s="19" t="s">
        <v>40</v>
      </c>
      <c r="D122" s="12" t="s">
        <v>202</v>
      </c>
      <c r="E122" s="28">
        <v>200</v>
      </c>
      <c r="F122" s="20"/>
      <c r="G122" s="20"/>
      <c r="H122" s="20">
        <f t="shared" si="23"/>
        <v>16704</v>
      </c>
      <c r="I122" s="20"/>
      <c r="J122" s="20"/>
      <c r="K122" s="20"/>
      <c r="L122" s="20">
        <f>2000+9000+5704</f>
        <v>16704</v>
      </c>
      <c r="M122" s="20">
        <f>2000+9000+5704</f>
        <v>16704</v>
      </c>
      <c r="N122" s="20">
        <f>1000+9000+5704</f>
        <v>15704</v>
      </c>
      <c r="O122" s="20">
        <f>E122+H122</f>
        <v>16904</v>
      </c>
    </row>
    <row r="123" spans="1:15" s="16" customFormat="1" ht="31.5">
      <c r="A123" s="19" t="s">
        <v>261</v>
      </c>
      <c r="B123" s="19" t="s">
        <v>260</v>
      </c>
      <c r="C123" s="19" t="s">
        <v>40</v>
      </c>
      <c r="D123" s="12" t="s">
        <v>262</v>
      </c>
      <c r="E123" s="28"/>
      <c r="F123" s="20"/>
      <c r="G123" s="20"/>
      <c r="H123" s="20">
        <f t="shared" si="23"/>
        <v>4000</v>
      </c>
      <c r="I123" s="20"/>
      <c r="J123" s="20"/>
      <c r="K123" s="20"/>
      <c r="L123" s="20">
        <v>4000</v>
      </c>
      <c r="M123" s="20">
        <v>4000</v>
      </c>
      <c r="N123" s="20">
        <v>4000</v>
      </c>
      <c r="O123" s="20">
        <f t="shared" ref="O123:O134" si="24">E123+H123</f>
        <v>4000</v>
      </c>
    </row>
    <row r="124" spans="1:15" s="16" customFormat="1" ht="31.5">
      <c r="A124" s="19" t="s">
        <v>204</v>
      </c>
      <c r="B124" s="19" t="s">
        <v>203</v>
      </c>
      <c r="C124" s="19" t="s">
        <v>40</v>
      </c>
      <c r="D124" s="12" t="s">
        <v>205</v>
      </c>
      <c r="E124" s="28">
        <v>531.4</v>
      </c>
      <c r="F124" s="20"/>
      <c r="G124" s="20"/>
      <c r="H124" s="20">
        <f t="shared" si="23"/>
        <v>4363.3</v>
      </c>
      <c r="I124" s="20"/>
      <c r="J124" s="20"/>
      <c r="K124" s="20"/>
      <c r="L124" s="20">
        <f>4000+363.3</f>
        <v>4363.3</v>
      </c>
      <c r="M124" s="20">
        <f>4000+363.3</f>
        <v>4363.3</v>
      </c>
      <c r="N124" s="20">
        <f>363.3</f>
        <v>363.3</v>
      </c>
      <c r="O124" s="20">
        <f t="shared" si="24"/>
        <v>4894.7</v>
      </c>
    </row>
    <row r="125" spans="1:15" s="16" customFormat="1" ht="31.5">
      <c r="A125" s="19" t="s">
        <v>255</v>
      </c>
      <c r="B125" s="19" t="s">
        <v>254</v>
      </c>
      <c r="C125" s="19" t="s">
        <v>40</v>
      </c>
      <c r="D125" s="12" t="s">
        <v>256</v>
      </c>
      <c r="E125" s="28">
        <v>500</v>
      </c>
      <c r="F125" s="20"/>
      <c r="G125" s="20"/>
      <c r="H125" s="20">
        <f t="shared" si="23"/>
        <v>8850</v>
      </c>
      <c r="I125" s="20"/>
      <c r="J125" s="20"/>
      <c r="K125" s="20"/>
      <c r="L125" s="20">
        <f>5000+3850</f>
        <v>8850</v>
      </c>
      <c r="M125" s="20">
        <f>5000+3850</f>
        <v>8850</v>
      </c>
      <c r="N125" s="20">
        <f>5000+3850</f>
        <v>8850</v>
      </c>
      <c r="O125" s="20">
        <f t="shared" si="24"/>
        <v>9350</v>
      </c>
    </row>
    <row r="126" spans="1:15" s="16" customFormat="1" ht="47.25">
      <c r="A126" s="19" t="s">
        <v>332</v>
      </c>
      <c r="B126" s="19" t="s">
        <v>333</v>
      </c>
      <c r="C126" s="19" t="s">
        <v>40</v>
      </c>
      <c r="D126" s="12" t="s">
        <v>334</v>
      </c>
      <c r="E126" s="77"/>
      <c r="F126" s="24"/>
      <c r="G126" s="24"/>
      <c r="H126" s="24">
        <f t="shared" si="23"/>
        <v>81.093999999999994</v>
      </c>
      <c r="I126" s="24"/>
      <c r="J126" s="24"/>
      <c r="K126" s="24"/>
      <c r="L126" s="24">
        <v>81.093999999999994</v>
      </c>
      <c r="M126" s="24">
        <v>81.093999999999994</v>
      </c>
      <c r="N126" s="24">
        <v>81.093999999999994</v>
      </c>
      <c r="O126" s="24">
        <f t="shared" si="24"/>
        <v>81.093999999999994</v>
      </c>
    </row>
    <row r="127" spans="1:15" s="16" customFormat="1" ht="47.25">
      <c r="A127" s="19" t="s">
        <v>335</v>
      </c>
      <c r="B127" s="19" t="s">
        <v>336</v>
      </c>
      <c r="C127" s="19" t="s">
        <v>40</v>
      </c>
      <c r="D127" s="12" t="s">
        <v>337</v>
      </c>
      <c r="E127" s="77">
        <v>200</v>
      </c>
      <c r="F127" s="24"/>
      <c r="G127" s="24"/>
      <c r="H127" s="24">
        <f t="shared" si="23"/>
        <v>1958</v>
      </c>
      <c r="I127" s="24"/>
      <c r="J127" s="24"/>
      <c r="K127" s="24"/>
      <c r="L127" s="24">
        <f>458+1500</f>
        <v>1958</v>
      </c>
      <c r="M127" s="24">
        <f>458+1500</f>
        <v>1958</v>
      </c>
      <c r="N127" s="24">
        <f>458+1500</f>
        <v>1958</v>
      </c>
      <c r="O127" s="24">
        <f t="shared" si="24"/>
        <v>2158</v>
      </c>
    </row>
    <row r="128" spans="1:15" s="16" customFormat="1" ht="15.75">
      <c r="A128" s="19" t="s">
        <v>180</v>
      </c>
      <c r="B128" s="19" t="s">
        <v>99</v>
      </c>
      <c r="C128" s="19" t="s">
        <v>40</v>
      </c>
      <c r="D128" s="18" t="s">
        <v>121</v>
      </c>
      <c r="E128" s="20">
        <f>4529.7+2707.3+2385+340.8+1776+420+60+30+200+200+200+200+200+200+200+5129.6+1724.9+212+200+180+200+100+4938.9+5716.5+50+9+860+200+1000+300+6000-661.2+311.2+200</f>
        <v>40319.700000000004</v>
      </c>
      <c r="F128" s="20"/>
      <c r="G128" s="20"/>
      <c r="H128" s="20">
        <f t="shared" si="23"/>
        <v>6445.4040000000005</v>
      </c>
      <c r="I128" s="20"/>
      <c r="J128" s="20"/>
      <c r="K128" s="20"/>
      <c r="L128" s="20">
        <f>3610+1900+1000-500+435.404</f>
        <v>6445.4040000000005</v>
      </c>
      <c r="M128" s="20">
        <f>3610+1900+1000-500+435.404</f>
        <v>6445.4040000000005</v>
      </c>
      <c r="N128" s="20">
        <f>3610+1900+1000-500+435.404</f>
        <v>6445.4040000000005</v>
      </c>
      <c r="O128" s="20">
        <f t="shared" si="24"/>
        <v>46765.104000000007</v>
      </c>
    </row>
    <row r="129" spans="1:15" s="16" customFormat="1" ht="15.75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23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24"/>
        <v>200</v>
      </c>
    </row>
    <row r="130" spans="1:15" s="16" customFormat="1" ht="31.5">
      <c r="A130" s="19" t="s">
        <v>264</v>
      </c>
      <c r="B130" s="19" t="s">
        <v>263</v>
      </c>
      <c r="C130" s="19" t="s">
        <v>265</v>
      </c>
      <c r="D130" s="12" t="s">
        <v>266</v>
      </c>
      <c r="E130" s="20">
        <v>490</v>
      </c>
      <c r="F130" s="20"/>
      <c r="G130" s="20"/>
      <c r="H130" s="20">
        <f t="shared" si="23"/>
        <v>0</v>
      </c>
      <c r="I130" s="20"/>
      <c r="J130" s="20"/>
      <c r="K130" s="20"/>
      <c r="L130" s="20"/>
      <c r="M130" s="20"/>
      <c r="N130" s="20"/>
      <c r="O130" s="20">
        <f t="shared" si="24"/>
        <v>490</v>
      </c>
    </row>
    <row r="131" spans="1:15" s="16" customFormat="1" ht="31.5">
      <c r="A131" s="19" t="s">
        <v>292</v>
      </c>
      <c r="B131" s="19" t="s">
        <v>291</v>
      </c>
      <c r="C131" s="19" t="s">
        <v>58</v>
      </c>
      <c r="D131" s="18" t="s">
        <v>258</v>
      </c>
      <c r="E131" s="20"/>
      <c r="F131" s="20"/>
      <c r="G131" s="20"/>
      <c r="H131" s="20">
        <f t="shared" si="23"/>
        <v>2767.5</v>
      </c>
      <c r="I131" s="20"/>
      <c r="J131" s="20"/>
      <c r="K131" s="20"/>
      <c r="L131" s="20">
        <f>500+2267.5</f>
        <v>2767.5</v>
      </c>
      <c r="M131" s="20">
        <f>500+2267.5</f>
        <v>2767.5</v>
      </c>
      <c r="N131" s="20">
        <f>500+2267.5</f>
        <v>2767.5</v>
      </c>
      <c r="O131" s="20">
        <f t="shared" si="24"/>
        <v>2767.5</v>
      </c>
    </row>
    <row r="132" spans="1:15" s="16" customFormat="1" ht="47.25">
      <c r="A132" s="19" t="s">
        <v>257</v>
      </c>
      <c r="B132" s="19" t="s">
        <v>198</v>
      </c>
      <c r="C132" s="19" t="s">
        <v>100</v>
      </c>
      <c r="D132" s="12" t="s">
        <v>199</v>
      </c>
      <c r="E132" s="20">
        <f>12000+2000+752.4</f>
        <v>14752.4</v>
      </c>
      <c r="F132" s="20"/>
      <c r="G132" s="20"/>
      <c r="H132" s="20">
        <f>I132+L132</f>
        <v>20894.599999999999</v>
      </c>
      <c r="I132" s="20"/>
      <c r="J132" s="20"/>
      <c r="K132" s="20"/>
      <c r="L132" s="20">
        <f>17203+2297+1394.6</f>
        <v>20894.599999999999</v>
      </c>
      <c r="M132" s="20">
        <f>19500+1394.6</f>
        <v>20894.599999999999</v>
      </c>
      <c r="N132" s="20">
        <f>19500+1394.6</f>
        <v>20894.599999999999</v>
      </c>
      <c r="O132" s="20">
        <f>E132+H132</f>
        <v>35647</v>
      </c>
    </row>
    <row r="133" spans="1:15" s="16" customFormat="1" ht="15.75">
      <c r="A133" s="19" t="s">
        <v>259</v>
      </c>
      <c r="B133" s="19" t="s">
        <v>196</v>
      </c>
      <c r="C133" s="19" t="s">
        <v>38</v>
      </c>
      <c r="D133" s="12" t="s">
        <v>39</v>
      </c>
      <c r="E133" s="20"/>
      <c r="F133" s="20"/>
      <c r="G133" s="20"/>
      <c r="H133" s="20">
        <f t="shared" si="23"/>
        <v>1000</v>
      </c>
      <c r="I133" s="20"/>
      <c r="J133" s="20"/>
      <c r="K133" s="20"/>
      <c r="L133" s="20">
        <v>1000</v>
      </c>
      <c r="M133" s="20">
        <v>1000</v>
      </c>
      <c r="N133" s="20"/>
      <c r="O133" s="20">
        <f t="shared" si="24"/>
        <v>1000</v>
      </c>
    </row>
    <row r="134" spans="1:15" s="16" customFormat="1" ht="31.5">
      <c r="A134" s="19" t="s">
        <v>283</v>
      </c>
      <c r="B134" s="19" t="s">
        <v>274</v>
      </c>
      <c r="C134" s="19" t="s">
        <v>101</v>
      </c>
      <c r="D134" s="18" t="s">
        <v>295</v>
      </c>
      <c r="E134" s="20"/>
      <c r="F134" s="20"/>
      <c r="G134" s="20"/>
      <c r="H134" s="20">
        <f t="shared" si="23"/>
        <v>99.3</v>
      </c>
      <c r="I134" s="20">
        <v>99.3</v>
      </c>
      <c r="J134" s="20"/>
      <c r="K134" s="20"/>
      <c r="L134" s="20"/>
      <c r="M134" s="20"/>
      <c r="N134" s="20"/>
      <c r="O134" s="20">
        <f t="shared" si="24"/>
        <v>99.3</v>
      </c>
    </row>
    <row r="135" spans="1:15" s="95" customFormat="1" ht="47.25">
      <c r="A135" s="25" t="s">
        <v>66</v>
      </c>
      <c r="B135" s="25"/>
      <c r="C135" s="25"/>
      <c r="D135" s="26" t="s">
        <v>27</v>
      </c>
      <c r="E135" s="21">
        <f>E136</f>
        <v>1592.8</v>
      </c>
      <c r="F135" s="21">
        <f t="shared" ref="F135:O135" si="25">F136</f>
        <v>1547</v>
      </c>
      <c r="G135" s="21">
        <f t="shared" si="25"/>
        <v>0</v>
      </c>
      <c r="H135" s="21">
        <f t="shared" si="25"/>
        <v>61483.483980000005</v>
      </c>
      <c r="I135" s="21">
        <f t="shared" si="25"/>
        <v>0</v>
      </c>
      <c r="J135" s="21">
        <f t="shared" si="25"/>
        <v>0</v>
      </c>
      <c r="K135" s="21">
        <f t="shared" si="25"/>
        <v>0</v>
      </c>
      <c r="L135" s="21">
        <f t="shared" si="25"/>
        <v>61483.483980000005</v>
      </c>
      <c r="M135" s="21">
        <f t="shared" si="25"/>
        <v>50300</v>
      </c>
      <c r="N135" s="21">
        <f t="shared" si="25"/>
        <v>50300</v>
      </c>
      <c r="O135" s="21">
        <f t="shared" si="25"/>
        <v>63076.283980000007</v>
      </c>
    </row>
    <row r="136" spans="1:15" s="16" customFormat="1" ht="47.25">
      <c r="A136" s="25" t="s">
        <v>67</v>
      </c>
      <c r="B136" s="19"/>
      <c r="C136" s="19"/>
      <c r="D136" s="26" t="s">
        <v>27</v>
      </c>
      <c r="E136" s="21">
        <f>E137+E138+E139+E140+E141</f>
        <v>1592.8</v>
      </c>
      <c r="F136" s="21">
        <f t="shared" ref="F136:N136" si="26">F137+F138+F139+F140+F141</f>
        <v>1547</v>
      </c>
      <c r="G136" s="21">
        <f t="shared" si="26"/>
        <v>0</v>
      </c>
      <c r="H136" s="21">
        <f t="shared" si="26"/>
        <v>61483.483980000005</v>
      </c>
      <c r="I136" s="21">
        <f t="shared" si="26"/>
        <v>0</v>
      </c>
      <c r="J136" s="21">
        <f t="shared" si="26"/>
        <v>0</v>
      </c>
      <c r="K136" s="21">
        <f t="shared" si="26"/>
        <v>0</v>
      </c>
      <c r="L136" s="21">
        <f t="shared" si="26"/>
        <v>61483.483980000005</v>
      </c>
      <c r="M136" s="21">
        <f t="shared" si="26"/>
        <v>50300</v>
      </c>
      <c r="N136" s="21">
        <f t="shared" si="26"/>
        <v>50300</v>
      </c>
      <c r="O136" s="21">
        <f t="shared" ref="O136:O161" si="27">E136+H136</f>
        <v>63076.283980000007</v>
      </c>
    </row>
    <row r="137" spans="1:15" s="16" customFormat="1" ht="47.25">
      <c r="A137" s="19" t="s">
        <v>184</v>
      </c>
      <c r="B137" s="19" t="s">
        <v>124</v>
      </c>
      <c r="C137" s="19" t="s">
        <v>32</v>
      </c>
      <c r="D137" s="18" t="s">
        <v>126</v>
      </c>
      <c r="E137" s="20">
        <v>1592.8</v>
      </c>
      <c r="F137" s="20">
        <f>1268+279</f>
        <v>1547</v>
      </c>
      <c r="G137" s="20"/>
      <c r="H137" s="20">
        <f>I137+L137</f>
        <v>0</v>
      </c>
      <c r="I137" s="20"/>
      <c r="J137" s="20"/>
      <c r="K137" s="20"/>
      <c r="L137" s="20"/>
      <c r="M137" s="20"/>
      <c r="N137" s="20"/>
      <c r="O137" s="20">
        <f t="shared" si="27"/>
        <v>1592.8</v>
      </c>
    </row>
    <row r="138" spans="1:15" s="16" customFormat="1" ht="31.5">
      <c r="A138" s="19" t="s">
        <v>269</v>
      </c>
      <c r="B138" s="19" t="s">
        <v>267</v>
      </c>
      <c r="C138" s="19" t="s">
        <v>98</v>
      </c>
      <c r="D138" s="18" t="s">
        <v>268</v>
      </c>
      <c r="E138" s="20"/>
      <c r="F138" s="20"/>
      <c r="G138" s="20"/>
      <c r="H138" s="20">
        <f>I138+L138</f>
        <v>200</v>
      </c>
      <c r="I138" s="20"/>
      <c r="J138" s="20"/>
      <c r="K138" s="20"/>
      <c r="L138" s="20">
        <v>200</v>
      </c>
      <c r="M138" s="20">
        <v>200</v>
      </c>
      <c r="N138" s="20">
        <v>200</v>
      </c>
      <c r="O138" s="20">
        <f t="shared" si="27"/>
        <v>200</v>
      </c>
    </row>
    <row r="139" spans="1:15" s="16" customFormat="1" ht="31.5">
      <c r="A139" s="19" t="s">
        <v>293</v>
      </c>
      <c r="B139" s="19" t="s">
        <v>291</v>
      </c>
      <c r="C139" s="19" t="s">
        <v>58</v>
      </c>
      <c r="D139" s="18" t="s">
        <v>258</v>
      </c>
      <c r="E139" s="20"/>
      <c r="F139" s="20"/>
      <c r="G139" s="20"/>
      <c r="H139" s="20">
        <f>I139+L139</f>
        <v>35100</v>
      </c>
      <c r="I139" s="20"/>
      <c r="J139" s="20"/>
      <c r="K139" s="20"/>
      <c r="L139" s="20">
        <f>100+10000+10000+5000+10000</f>
        <v>35100</v>
      </c>
      <c r="M139" s="20">
        <f>100+10000+10000+5000+10000</f>
        <v>35100</v>
      </c>
      <c r="N139" s="20">
        <f>100+10000+10000+5000+10000</f>
        <v>35100</v>
      </c>
      <c r="O139" s="20">
        <f t="shared" si="27"/>
        <v>35100</v>
      </c>
    </row>
    <row r="140" spans="1:15" s="16" customFormat="1" ht="141.75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>I140+L140</f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27"/>
        <v>11183.483980000001</v>
      </c>
    </row>
    <row r="141" spans="1:15" s="16" customFormat="1" ht="31.5">
      <c r="A141" s="19" t="s">
        <v>271</v>
      </c>
      <c r="B141" s="19" t="s">
        <v>270</v>
      </c>
      <c r="C141" s="19" t="s">
        <v>273</v>
      </c>
      <c r="D141" s="18" t="s">
        <v>272</v>
      </c>
      <c r="E141" s="20"/>
      <c r="F141" s="20"/>
      <c r="G141" s="20"/>
      <c r="H141" s="20">
        <f>I141+L141</f>
        <v>15000</v>
      </c>
      <c r="I141" s="20"/>
      <c r="J141" s="20"/>
      <c r="K141" s="20"/>
      <c r="L141" s="20">
        <v>15000</v>
      </c>
      <c r="M141" s="20">
        <v>15000</v>
      </c>
      <c r="N141" s="20">
        <v>15000</v>
      </c>
      <c r="O141" s="20">
        <f t="shared" si="27"/>
        <v>15000</v>
      </c>
    </row>
    <row r="142" spans="1:15" s="95" customFormat="1" ht="47.25">
      <c r="A142" s="25" t="s">
        <v>181</v>
      </c>
      <c r="B142" s="25"/>
      <c r="C142" s="25"/>
      <c r="D142" s="26" t="s">
        <v>24</v>
      </c>
      <c r="E142" s="21">
        <f>E143</f>
        <v>1824.7</v>
      </c>
      <c r="F142" s="21">
        <f t="shared" ref="F142:O142" si="28">F143</f>
        <v>1787</v>
      </c>
      <c r="G142" s="21">
        <f t="shared" si="28"/>
        <v>0</v>
      </c>
      <c r="H142" s="21">
        <f t="shared" si="28"/>
        <v>12</v>
      </c>
      <c r="I142" s="21">
        <f t="shared" si="28"/>
        <v>0</v>
      </c>
      <c r="J142" s="21">
        <f t="shared" si="28"/>
        <v>0</v>
      </c>
      <c r="K142" s="21">
        <f t="shared" si="28"/>
        <v>0</v>
      </c>
      <c r="L142" s="21">
        <f t="shared" si="28"/>
        <v>12</v>
      </c>
      <c r="M142" s="21">
        <f t="shared" si="28"/>
        <v>12</v>
      </c>
      <c r="N142" s="21">
        <f t="shared" si="28"/>
        <v>12</v>
      </c>
      <c r="O142" s="21">
        <f t="shared" si="28"/>
        <v>1836.7</v>
      </c>
    </row>
    <row r="143" spans="1:15" s="16" customFormat="1" ht="47.25">
      <c r="A143" s="25" t="s">
        <v>182</v>
      </c>
      <c r="B143" s="19"/>
      <c r="C143" s="19"/>
      <c r="D143" s="26" t="s">
        <v>24</v>
      </c>
      <c r="E143" s="21">
        <f>E144</f>
        <v>1824.7</v>
      </c>
      <c r="F143" s="21">
        <f>F144</f>
        <v>1787</v>
      </c>
      <c r="G143" s="21"/>
      <c r="H143" s="21">
        <f>I143+L143</f>
        <v>12</v>
      </c>
      <c r="I143" s="21"/>
      <c r="J143" s="21"/>
      <c r="K143" s="21"/>
      <c r="L143" s="21">
        <f>L144</f>
        <v>12</v>
      </c>
      <c r="M143" s="21">
        <f>M144</f>
        <v>12</v>
      </c>
      <c r="N143" s="21">
        <f>N144</f>
        <v>12</v>
      </c>
      <c r="O143" s="21">
        <f t="shared" si="27"/>
        <v>1836.7</v>
      </c>
    </row>
    <row r="144" spans="1:15" s="16" customFormat="1" ht="47.25">
      <c r="A144" s="19" t="s">
        <v>183</v>
      </c>
      <c r="B144" s="19" t="s">
        <v>124</v>
      </c>
      <c r="C144" s="19" t="s">
        <v>32</v>
      </c>
      <c r="D144" s="18" t="s">
        <v>126</v>
      </c>
      <c r="E144" s="20">
        <v>1824.7</v>
      </c>
      <c r="F144" s="20">
        <f>1465+322</f>
        <v>1787</v>
      </c>
      <c r="G144" s="20"/>
      <c r="H144" s="20">
        <f>I144+L144</f>
        <v>12</v>
      </c>
      <c r="I144" s="20"/>
      <c r="J144" s="20"/>
      <c r="K144" s="20"/>
      <c r="L144" s="20">
        <v>12</v>
      </c>
      <c r="M144" s="20">
        <v>12</v>
      </c>
      <c r="N144" s="20">
        <v>12</v>
      </c>
      <c r="O144" s="20">
        <f t="shared" si="27"/>
        <v>1836.7</v>
      </c>
    </row>
    <row r="145" spans="1:15" s="16" customFormat="1" ht="47.25">
      <c r="A145" s="25" t="s">
        <v>185</v>
      </c>
      <c r="B145" s="25"/>
      <c r="C145" s="25"/>
      <c r="D145" s="26" t="s">
        <v>23</v>
      </c>
      <c r="E145" s="21">
        <f>E146</f>
        <v>2188.1999999999998</v>
      </c>
      <c r="F145" s="21">
        <f t="shared" ref="F145:O145" si="29">F146</f>
        <v>1863</v>
      </c>
      <c r="G145" s="21">
        <f t="shared" si="29"/>
        <v>0</v>
      </c>
      <c r="H145" s="21">
        <f t="shared" si="29"/>
        <v>1925</v>
      </c>
      <c r="I145" s="21">
        <f t="shared" si="29"/>
        <v>0</v>
      </c>
      <c r="J145" s="21">
        <f t="shared" si="29"/>
        <v>0</v>
      </c>
      <c r="K145" s="21">
        <f t="shared" si="29"/>
        <v>0</v>
      </c>
      <c r="L145" s="21">
        <f t="shared" si="29"/>
        <v>1925</v>
      </c>
      <c r="M145" s="21">
        <f t="shared" si="29"/>
        <v>1925</v>
      </c>
      <c r="N145" s="21">
        <f t="shared" si="29"/>
        <v>1925</v>
      </c>
      <c r="O145" s="21">
        <f t="shared" si="29"/>
        <v>4113.2</v>
      </c>
    </row>
    <row r="146" spans="1:15" s="16" customFormat="1" ht="47.25">
      <c r="A146" s="25" t="s">
        <v>186</v>
      </c>
      <c r="B146" s="19"/>
      <c r="C146" s="19"/>
      <c r="D146" s="26" t="s">
        <v>23</v>
      </c>
      <c r="E146" s="21">
        <f>E147+E148+E149+E150+E151</f>
        <v>2188.1999999999998</v>
      </c>
      <c r="F146" s="21">
        <f t="shared" ref="F146:N146" si="30">F147+F148+F149+F150+F151</f>
        <v>1863</v>
      </c>
      <c r="G146" s="21">
        <f t="shared" si="30"/>
        <v>0</v>
      </c>
      <c r="H146" s="21">
        <f>I146+L146</f>
        <v>1925</v>
      </c>
      <c r="I146" s="21">
        <f t="shared" si="30"/>
        <v>0</v>
      </c>
      <c r="J146" s="21">
        <f t="shared" si="30"/>
        <v>0</v>
      </c>
      <c r="K146" s="21">
        <f t="shared" si="30"/>
        <v>0</v>
      </c>
      <c r="L146" s="21">
        <f t="shared" si="30"/>
        <v>1925</v>
      </c>
      <c r="M146" s="21">
        <f t="shared" si="30"/>
        <v>1925</v>
      </c>
      <c r="N146" s="21">
        <f t="shared" si="30"/>
        <v>1925</v>
      </c>
      <c r="O146" s="21">
        <f t="shared" ref="O146:O151" si="31">E146+H146</f>
        <v>4113.2</v>
      </c>
    </row>
    <row r="147" spans="1:15" s="16" customFormat="1" ht="47.25">
      <c r="A147" s="19" t="s">
        <v>187</v>
      </c>
      <c r="B147" s="19" t="s">
        <v>124</v>
      </c>
      <c r="C147" s="19" t="s">
        <v>32</v>
      </c>
      <c r="D147" s="18" t="s">
        <v>126</v>
      </c>
      <c r="E147" s="20">
        <v>1898.7</v>
      </c>
      <c r="F147" s="20">
        <f>1527+336</f>
        <v>1863</v>
      </c>
      <c r="G147" s="20"/>
      <c r="H147" s="20"/>
      <c r="I147" s="20"/>
      <c r="J147" s="20"/>
      <c r="K147" s="20"/>
      <c r="L147" s="20"/>
      <c r="M147" s="20"/>
      <c r="N147" s="20"/>
      <c r="O147" s="20">
        <f t="shared" si="31"/>
        <v>1898.7</v>
      </c>
    </row>
    <row r="148" spans="1:15" s="16" customFormat="1" ht="31.5">
      <c r="A148" s="19" t="s">
        <v>206</v>
      </c>
      <c r="B148" s="19" t="s">
        <v>41</v>
      </c>
      <c r="C148" s="19" t="s">
        <v>37</v>
      </c>
      <c r="D148" s="18" t="s">
        <v>207</v>
      </c>
      <c r="E148" s="20">
        <v>100.5</v>
      </c>
      <c r="F148" s="20"/>
      <c r="G148" s="20"/>
      <c r="H148" s="20"/>
      <c r="I148" s="20"/>
      <c r="J148" s="20"/>
      <c r="K148" s="20"/>
      <c r="L148" s="20"/>
      <c r="M148" s="20"/>
      <c r="N148" s="20"/>
      <c r="O148" s="20">
        <f t="shared" si="31"/>
        <v>100.5</v>
      </c>
    </row>
    <row r="149" spans="1:15" s="16" customFormat="1" ht="15.75">
      <c r="A149" s="19" t="s">
        <v>212</v>
      </c>
      <c r="B149" s="19" t="s">
        <v>211</v>
      </c>
      <c r="C149" s="19" t="s">
        <v>115</v>
      </c>
      <c r="D149" s="18" t="s">
        <v>213</v>
      </c>
      <c r="E149" s="20"/>
      <c r="F149" s="20"/>
      <c r="G149" s="20"/>
      <c r="H149" s="20">
        <f>I149+L149</f>
        <v>300</v>
      </c>
      <c r="I149" s="20"/>
      <c r="J149" s="20"/>
      <c r="K149" s="20"/>
      <c r="L149" s="20">
        <v>300</v>
      </c>
      <c r="M149" s="20">
        <v>300</v>
      </c>
      <c r="N149" s="20">
        <v>300</v>
      </c>
      <c r="O149" s="20">
        <f t="shared" si="31"/>
        <v>300</v>
      </c>
    </row>
    <row r="150" spans="1:15" s="16" customFormat="1" ht="31.5">
      <c r="A150" s="19" t="s">
        <v>294</v>
      </c>
      <c r="B150" s="19" t="s">
        <v>291</v>
      </c>
      <c r="C150" s="19" t="s">
        <v>58</v>
      </c>
      <c r="D150" s="18" t="s">
        <v>258</v>
      </c>
      <c r="E150" s="20"/>
      <c r="F150" s="20"/>
      <c r="G150" s="20"/>
      <c r="H150" s="20">
        <f>I150+L150</f>
        <v>1625</v>
      </c>
      <c r="I150" s="20"/>
      <c r="J150" s="20"/>
      <c r="K150" s="20"/>
      <c r="L150" s="20">
        <f>1490+135</f>
        <v>1625</v>
      </c>
      <c r="M150" s="20">
        <f>1490+135</f>
        <v>1625</v>
      </c>
      <c r="N150" s="20">
        <f>1490+135</f>
        <v>1625</v>
      </c>
      <c r="O150" s="20">
        <f t="shared" si="31"/>
        <v>1625</v>
      </c>
    </row>
    <row r="151" spans="1:15" s="16" customFormat="1" ht="31.5">
      <c r="A151" s="19" t="s">
        <v>209</v>
      </c>
      <c r="B151" s="19" t="s">
        <v>208</v>
      </c>
      <c r="C151" s="19" t="s">
        <v>58</v>
      </c>
      <c r="D151" s="18" t="s">
        <v>210</v>
      </c>
      <c r="E151" s="20">
        <v>189</v>
      </c>
      <c r="F151" s="20"/>
      <c r="G151" s="20"/>
      <c r="H151" s="20"/>
      <c r="I151" s="20"/>
      <c r="J151" s="20"/>
      <c r="K151" s="20"/>
      <c r="L151" s="20"/>
      <c r="M151" s="20"/>
      <c r="N151" s="20"/>
      <c r="O151" s="20">
        <f t="shared" si="31"/>
        <v>189</v>
      </c>
    </row>
    <row r="152" spans="1:15" s="95" customFormat="1" ht="31.5">
      <c r="A152" s="25" t="s">
        <v>188</v>
      </c>
      <c r="B152" s="25"/>
      <c r="C152" s="25"/>
      <c r="D152" s="26" t="s">
        <v>16</v>
      </c>
      <c r="E152" s="21">
        <f>E153</f>
        <v>63769.700000000004</v>
      </c>
      <c r="F152" s="21">
        <f t="shared" ref="F152:O152" si="32">F153</f>
        <v>2766.1</v>
      </c>
      <c r="G152" s="21">
        <f t="shared" si="32"/>
        <v>0</v>
      </c>
      <c r="H152" s="21">
        <f t="shared" si="32"/>
        <v>4367.2000000000007</v>
      </c>
      <c r="I152" s="21">
        <f t="shared" si="32"/>
        <v>0</v>
      </c>
      <c r="J152" s="21">
        <f t="shared" si="32"/>
        <v>0</v>
      </c>
      <c r="K152" s="21">
        <f t="shared" si="32"/>
        <v>0</v>
      </c>
      <c r="L152" s="21">
        <f t="shared" si="32"/>
        <v>4367.2000000000007</v>
      </c>
      <c r="M152" s="21">
        <f t="shared" si="32"/>
        <v>4367.2000000000007</v>
      </c>
      <c r="N152" s="21">
        <f t="shared" si="32"/>
        <v>4367.2000000000007</v>
      </c>
      <c r="O152" s="21">
        <f t="shared" si="32"/>
        <v>68136.900000000009</v>
      </c>
    </row>
    <row r="153" spans="1:15" s="16" customFormat="1" ht="31.5">
      <c r="A153" s="25" t="s">
        <v>189</v>
      </c>
      <c r="B153" s="19"/>
      <c r="C153" s="19"/>
      <c r="D153" s="26" t="s">
        <v>16</v>
      </c>
      <c r="E153" s="21">
        <f>E154+E155+E156+E157+E158+E161</f>
        <v>63769.700000000004</v>
      </c>
      <c r="F153" s="21">
        <f t="shared" ref="F153:N153" si="33">F154+F155+F156+F157+F158+F161</f>
        <v>2766.1</v>
      </c>
      <c r="G153" s="21">
        <f t="shared" si="33"/>
        <v>0</v>
      </c>
      <c r="H153" s="21">
        <f t="shared" si="33"/>
        <v>4367.2000000000007</v>
      </c>
      <c r="I153" s="21">
        <f t="shared" si="33"/>
        <v>0</v>
      </c>
      <c r="J153" s="21">
        <f t="shared" si="33"/>
        <v>0</v>
      </c>
      <c r="K153" s="21">
        <f t="shared" si="33"/>
        <v>0</v>
      </c>
      <c r="L153" s="21">
        <f t="shared" si="33"/>
        <v>4367.2000000000007</v>
      </c>
      <c r="M153" s="21">
        <f t="shared" si="33"/>
        <v>4367.2000000000007</v>
      </c>
      <c r="N153" s="21">
        <f t="shared" si="33"/>
        <v>4367.2000000000007</v>
      </c>
      <c r="O153" s="21">
        <f t="shared" si="27"/>
        <v>68136.900000000009</v>
      </c>
    </row>
    <row r="154" spans="1:15" s="16" customFormat="1" ht="47.25">
      <c r="A154" s="19" t="s">
        <v>190</v>
      </c>
      <c r="B154" s="19" t="s">
        <v>124</v>
      </c>
      <c r="C154" s="19" t="s">
        <v>32</v>
      </c>
      <c r="D154" s="18" t="s">
        <v>126</v>
      </c>
      <c r="E154" s="20">
        <f>2840.9+55</f>
        <v>2895.9</v>
      </c>
      <c r="F154" s="20">
        <f>2222.2+488.9+55</f>
        <v>2766.1</v>
      </c>
      <c r="G154" s="20"/>
      <c r="H154" s="20">
        <f>I154+L154</f>
        <v>20</v>
      </c>
      <c r="I154" s="20"/>
      <c r="J154" s="20"/>
      <c r="K154" s="20"/>
      <c r="L154" s="20">
        <v>20</v>
      </c>
      <c r="M154" s="20">
        <v>20</v>
      </c>
      <c r="N154" s="20">
        <v>20</v>
      </c>
      <c r="O154" s="20">
        <f t="shared" si="27"/>
        <v>2915.9</v>
      </c>
    </row>
    <row r="155" spans="1:15" s="16" customFormat="1" ht="31.5">
      <c r="A155" s="19" t="s">
        <v>214</v>
      </c>
      <c r="B155" s="19" t="s">
        <v>41</v>
      </c>
      <c r="C155" s="19" t="s">
        <v>37</v>
      </c>
      <c r="D155" s="18" t="s">
        <v>207</v>
      </c>
      <c r="E155" s="20">
        <f>100+6000+85</f>
        <v>6185</v>
      </c>
      <c r="F155" s="20"/>
      <c r="G155" s="20"/>
      <c r="H155" s="20">
        <f>I155+L155</f>
        <v>365.20000000000073</v>
      </c>
      <c r="I155" s="20"/>
      <c r="J155" s="20"/>
      <c r="K155" s="20"/>
      <c r="L155" s="20">
        <f>13873+5000-2297-500-1000-14710.8</f>
        <v>365.20000000000073</v>
      </c>
      <c r="M155" s="20">
        <f>13873+5000-2297-500-1000-14710.8</f>
        <v>365.20000000000073</v>
      </c>
      <c r="N155" s="20">
        <f>13873+5000-2297-500-1000-14710.8</f>
        <v>365.20000000000073</v>
      </c>
      <c r="O155" s="20">
        <f t="shared" si="27"/>
        <v>6550.2000000000007</v>
      </c>
    </row>
    <row r="156" spans="1:15" s="16" customFormat="1" ht="15.75">
      <c r="A156" s="19" t="s">
        <v>218</v>
      </c>
      <c r="B156" s="19" t="s">
        <v>217</v>
      </c>
      <c r="C156" s="19" t="s">
        <v>37</v>
      </c>
      <c r="D156" s="18" t="s">
        <v>12</v>
      </c>
      <c r="E156" s="20">
        <f>3000+3000</f>
        <v>6000</v>
      </c>
      <c r="F156" s="20"/>
      <c r="G156" s="20"/>
      <c r="H156" s="20"/>
      <c r="I156" s="20"/>
      <c r="J156" s="20"/>
      <c r="K156" s="20"/>
      <c r="L156" s="20"/>
      <c r="M156" s="20"/>
      <c r="N156" s="20"/>
      <c r="O156" s="20">
        <f t="shared" si="27"/>
        <v>6000</v>
      </c>
    </row>
    <row r="157" spans="1:15" s="16" customFormat="1" ht="15.75">
      <c r="A157" s="19" t="s">
        <v>216</v>
      </c>
      <c r="B157" s="19" t="s">
        <v>215</v>
      </c>
      <c r="C157" s="19" t="s">
        <v>41</v>
      </c>
      <c r="D157" s="18" t="s">
        <v>13</v>
      </c>
      <c r="E157" s="20">
        <v>46284</v>
      </c>
      <c r="F157" s="20"/>
      <c r="G157" s="20"/>
      <c r="H157" s="20"/>
      <c r="I157" s="20"/>
      <c r="J157" s="20"/>
      <c r="K157" s="20"/>
      <c r="L157" s="20"/>
      <c r="M157" s="20"/>
      <c r="N157" s="20"/>
      <c r="O157" s="20">
        <f t="shared" si="27"/>
        <v>46284</v>
      </c>
    </row>
    <row r="158" spans="1:15" s="16" customFormat="1" ht="15.75">
      <c r="A158" s="19" t="s">
        <v>383</v>
      </c>
      <c r="B158" s="19" t="s">
        <v>381</v>
      </c>
      <c r="C158" s="19" t="s">
        <v>41</v>
      </c>
      <c r="D158" s="85" t="s">
        <v>382</v>
      </c>
      <c r="E158" s="24">
        <v>15</v>
      </c>
      <c r="F158" s="24"/>
      <c r="G158" s="24"/>
      <c r="H158" s="24">
        <f>L158</f>
        <v>313</v>
      </c>
      <c r="I158" s="24"/>
      <c r="J158" s="24"/>
      <c r="K158" s="24"/>
      <c r="L158" s="24">
        <f>L160</f>
        <v>313</v>
      </c>
      <c r="M158" s="24">
        <f>M160</f>
        <v>313</v>
      </c>
      <c r="N158" s="24">
        <f>N160</f>
        <v>313</v>
      </c>
      <c r="O158" s="24">
        <f t="shared" si="27"/>
        <v>328</v>
      </c>
    </row>
    <row r="159" spans="1:15" s="16" customFormat="1" ht="15.75">
      <c r="A159" s="19"/>
      <c r="B159" s="19"/>
      <c r="C159" s="19"/>
      <c r="D159" s="83" t="s">
        <v>376</v>
      </c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</row>
    <row r="160" spans="1:15" s="16" customFormat="1" ht="78.75">
      <c r="A160" s="19"/>
      <c r="B160" s="19"/>
      <c r="C160" s="19"/>
      <c r="D160" s="101" t="s">
        <v>386</v>
      </c>
      <c r="E160" s="76">
        <v>15</v>
      </c>
      <c r="F160" s="76"/>
      <c r="G160" s="76"/>
      <c r="H160" s="76">
        <f>I160+L160</f>
        <v>313</v>
      </c>
      <c r="I160" s="76"/>
      <c r="J160" s="76"/>
      <c r="K160" s="76"/>
      <c r="L160" s="76">
        <v>313</v>
      </c>
      <c r="M160" s="76">
        <v>313</v>
      </c>
      <c r="N160" s="76">
        <v>313</v>
      </c>
      <c r="O160" s="76">
        <f>E160+H160</f>
        <v>328</v>
      </c>
    </row>
    <row r="161" spans="1:15" s="16" customFormat="1" ht="47.25">
      <c r="A161" s="19" t="s">
        <v>347</v>
      </c>
      <c r="B161" s="19" t="s">
        <v>341</v>
      </c>
      <c r="C161" s="19" t="s">
        <v>41</v>
      </c>
      <c r="D161" s="18" t="s">
        <v>342</v>
      </c>
      <c r="E161" s="24">
        <f>E163+E164+E165</f>
        <v>2389.8000000000002</v>
      </c>
      <c r="F161" s="24"/>
      <c r="G161" s="24"/>
      <c r="H161" s="24">
        <f>I161+L161</f>
        <v>3669</v>
      </c>
      <c r="I161" s="24"/>
      <c r="J161" s="24"/>
      <c r="K161" s="24"/>
      <c r="L161" s="24">
        <f>L163+L164+L165</f>
        <v>3669</v>
      </c>
      <c r="M161" s="24">
        <f>M163+M164+M165</f>
        <v>3669</v>
      </c>
      <c r="N161" s="24">
        <f>N163+N164+N165</f>
        <v>3669</v>
      </c>
      <c r="O161" s="24">
        <f t="shared" si="27"/>
        <v>6058.8</v>
      </c>
    </row>
    <row r="162" spans="1:15" s="102" customFormat="1" ht="15.75">
      <c r="A162" s="35"/>
      <c r="B162" s="35"/>
      <c r="C162" s="35"/>
      <c r="D162" s="83" t="s">
        <v>376</v>
      </c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</row>
    <row r="163" spans="1:15" s="16" customFormat="1" ht="47.25">
      <c r="A163" s="19"/>
      <c r="B163" s="19"/>
      <c r="C163" s="19"/>
      <c r="D163" s="81" t="s">
        <v>374</v>
      </c>
      <c r="E163" s="76">
        <v>1238.8</v>
      </c>
      <c r="F163" s="76"/>
      <c r="G163" s="76"/>
      <c r="H163" s="76">
        <f>I163+L163</f>
        <v>1630</v>
      </c>
      <c r="I163" s="76"/>
      <c r="J163" s="76"/>
      <c r="K163" s="76"/>
      <c r="L163" s="76">
        <v>1630</v>
      </c>
      <c r="M163" s="76">
        <v>1630</v>
      </c>
      <c r="N163" s="76">
        <v>1630</v>
      </c>
      <c r="O163" s="76">
        <f>E163+H163</f>
        <v>2868.8</v>
      </c>
    </row>
    <row r="164" spans="1:15" s="16" customFormat="1" ht="31.5">
      <c r="A164" s="19"/>
      <c r="B164" s="19"/>
      <c r="C164" s="19"/>
      <c r="D164" s="101" t="s">
        <v>375</v>
      </c>
      <c r="E164" s="76">
        <v>850</v>
      </c>
      <c r="F164" s="76"/>
      <c r="G164" s="76"/>
      <c r="H164" s="76">
        <f>I164+L164</f>
        <v>1700</v>
      </c>
      <c r="I164" s="76"/>
      <c r="J164" s="76"/>
      <c r="K164" s="76"/>
      <c r="L164" s="76">
        <v>1700</v>
      </c>
      <c r="M164" s="76">
        <v>1700</v>
      </c>
      <c r="N164" s="76">
        <v>1700</v>
      </c>
      <c r="O164" s="76">
        <f>E164+H164</f>
        <v>2550</v>
      </c>
    </row>
    <row r="165" spans="1:15" s="16" customFormat="1" ht="110.25">
      <c r="A165" s="19"/>
      <c r="B165" s="19"/>
      <c r="C165" s="19"/>
      <c r="D165" s="101" t="s">
        <v>384</v>
      </c>
      <c r="E165" s="76">
        <v>301</v>
      </c>
      <c r="F165" s="76"/>
      <c r="G165" s="76"/>
      <c r="H165" s="76">
        <f>I165+L165</f>
        <v>339</v>
      </c>
      <c r="I165" s="76"/>
      <c r="J165" s="76"/>
      <c r="K165" s="76"/>
      <c r="L165" s="76">
        <v>339</v>
      </c>
      <c r="M165" s="76">
        <v>339</v>
      </c>
      <c r="N165" s="76">
        <v>339</v>
      </c>
      <c r="O165" s="76">
        <f>E165+H165</f>
        <v>640</v>
      </c>
    </row>
    <row r="166" spans="1:15" s="16" customFormat="1" ht="15.75">
      <c r="A166" s="19"/>
      <c r="B166" s="19"/>
      <c r="C166" s="19"/>
      <c r="D166" s="40" t="s">
        <v>11</v>
      </c>
      <c r="E166" s="21">
        <f>E11+E34+E38+E42+E46+E69+E95+E100+E109+E118+E135+E142+E145+E152</f>
        <v>673597.08</v>
      </c>
      <c r="F166" s="21">
        <f>F11+F34+F38+F42+F46+F69+F95+F100+F109+F118+F135+F142+F145+F152</f>
        <v>246322.50000000003</v>
      </c>
      <c r="G166" s="21">
        <f>G11+G34+G38+G42+G46+G69+G95+G100+G109+G118+G135+G142+G145+G152</f>
        <v>26806.400000000001</v>
      </c>
      <c r="H166" s="21">
        <f>I166+L166</f>
        <v>181295.23736000003</v>
      </c>
      <c r="I166" s="21">
        <f t="shared" ref="I166:N166" si="34">I11+I34+I38+I42+I46+I69+I95+I100+I109+I118+I135+I142+I145+I152</f>
        <v>19040.200999999997</v>
      </c>
      <c r="J166" s="21">
        <f t="shared" si="34"/>
        <v>233.8</v>
      </c>
      <c r="K166" s="21">
        <f t="shared" si="34"/>
        <v>0</v>
      </c>
      <c r="L166" s="21">
        <f t="shared" si="34"/>
        <v>162255.03636000003</v>
      </c>
      <c r="M166" s="21">
        <f t="shared" si="34"/>
        <v>150967.55238000001</v>
      </c>
      <c r="N166" s="21">
        <f t="shared" si="34"/>
        <v>144967.55238000001</v>
      </c>
      <c r="O166" s="21">
        <f>E166+H166</f>
        <v>854892.31735999999</v>
      </c>
    </row>
    <row r="167" spans="1:15" s="16" customFormat="1" ht="15.75">
      <c r="A167" s="42"/>
      <c r="B167" s="42"/>
      <c r="C167" s="42"/>
      <c r="D167" s="43"/>
      <c r="E167" s="43"/>
      <c r="F167" s="43"/>
      <c r="G167" s="43"/>
      <c r="J167" s="44"/>
      <c r="K167" s="44"/>
      <c r="L167" s="44"/>
      <c r="M167" s="44"/>
      <c r="N167" s="44"/>
      <c r="O167" s="44"/>
    </row>
    <row r="168" spans="1:15" s="29" customFormat="1" ht="15.75">
      <c r="A168" s="42"/>
      <c r="B168" s="42"/>
      <c r="C168" s="42"/>
      <c r="D168" s="29" t="s">
        <v>108</v>
      </c>
      <c r="E168" s="45"/>
      <c r="L168" s="29" t="s">
        <v>109</v>
      </c>
    </row>
    <row r="169" spans="1:15" s="2" customFormat="1">
      <c r="A169" s="6"/>
      <c r="B169" s="6"/>
      <c r="C169" s="6"/>
      <c r="D169" s="32"/>
      <c r="E169" s="17"/>
      <c r="K169" s="32"/>
    </row>
    <row r="170" spans="1:15"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</row>
    <row r="171" spans="1:15">
      <c r="E171" s="34">
        <f>[1]початковий!E145+'[1]зміни лютий'!E170</f>
        <v>673597.08</v>
      </c>
      <c r="F171" s="34">
        <f>[1]початковий!F145+'[1]зміни лютий'!F170</f>
        <v>246322.50000000003</v>
      </c>
      <c r="G171" s="34">
        <f>[1]початковий!G145+'[1]зміни лютий'!G170</f>
        <v>26806.400000000001</v>
      </c>
      <c r="H171" s="34">
        <f>[1]початковий!H145+'[1]зміни лютий'!H170</f>
        <v>181295.23736</v>
      </c>
      <c r="I171" s="34">
        <f>[1]початковий!I145+'[1]зміни лютий'!I170</f>
        <v>19040.200999999997</v>
      </c>
      <c r="J171" s="34">
        <f>[1]початковий!J145+'[1]зміни лютий'!J170</f>
        <v>233.8</v>
      </c>
      <c r="K171" s="34">
        <f>[1]початковий!K145+'[1]зміни лютий'!K170</f>
        <v>0</v>
      </c>
      <c r="L171" s="34">
        <f>[1]початковий!L145+'[1]зміни лютий'!L170</f>
        <v>162255.03636</v>
      </c>
      <c r="M171" s="34">
        <f>[1]початковий!M145+'[1]зміни лютий'!M170</f>
        <v>150967.55238000001</v>
      </c>
      <c r="N171" s="34">
        <f>[1]початковий!N145+'[1]зміни лютий'!N170</f>
        <v>144967.55238000001</v>
      </c>
      <c r="O171" s="34">
        <f>[1]початковий!O145+'[1]зміни лютий'!O170</f>
        <v>854892.31735999999</v>
      </c>
    </row>
    <row r="172" spans="1:15">
      <c r="E172" s="34">
        <f>E166-E171</f>
        <v>0</v>
      </c>
      <c r="F172" s="34">
        <f t="shared" ref="F172:O172" si="35">F166-F171</f>
        <v>0</v>
      </c>
      <c r="G172" s="34">
        <f t="shared" si="35"/>
        <v>0</v>
      </c>
      <c r="H172" s="34">
        <f t="shared" si="35"/>
        <v>0</v>
      </c>
      <c r="I172" s="34">
        <f t="shared" si="35"/>
        <v>0</v>
      </c>
      <c r="J172" s="34">
        <f t="shared" si="35"/>
        <v>0</v>
      </c>
      <c r="K172" s="34">
        <f t="shared" si="35"/>
        <v>0</v>
      </c>
      <c r="L172" s="34">
        <f t="shared" si="35"/>
        <v>0</v>
      </c>
      <c r="M172" s="34">
        <f t="shared" si="35"/>
        <v>0</v>
      </c>
      <c r="N172" s="34">
        <f t="shared" si="35"/>
        <v>0</v>
      </c>
      <c r="O172" s="34">
        <f t="shared" si="35"/>
        <v>0</v>
      </c>
    </row>
  </sheetData>
  <mergeCells count="20">
    <mergeCell ref="J8:J9"/>
    <mergeCell ref="K8:K9"/>
    <mergeCell ref="M8:M9"/>
    <mergeCell ref="H7:H9"/>
    <mergeCell ref="I7:I9"/>
    <mergeCell ref="J7:K7"/>
    <mergeCell ref="L7:L9"/>
    <mergeCell ref="M7:N7"/>
    <mergeCell ref="A4:O4"/>
    <mergeCell ref="A6:A9"/>
    <mergeCell ref="B6:B9"/>
    <mergeCell ref="C6:C9"/>
    <mergeCell ref="D6:D9"/>
    <mergeCell ref="E6:G6"/>
    <mergeCell ref="H6:N6"/>
    <mergeCell ref="O6:O9"/>
    <mergeCell ref="E7:E9"/>
    <mergeCell ref="F7:G7"/>
    <mergeCell ref="F8:F9"/>
    <mergeCell ref="G8:G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78"/>
  <sheetViews>
    <sheetView tabSelected="1" view="pageBreakPreview" zoomScale="75" zoomScaleNormal="75" zoomScaleSheetLayoutView="75" workbookViewId="0">
      <pane xSplit="4" ySplit="8" topLeftCell="E160" activePane="bottomRight" state="frozen"/>
      <selection pane="topRight" activeCell="E1" sqref="E1"/>
      <selection pane="bottomLeft" activeCell="A13" sqref="A13"/>
      <selection pane="bottomRight" activeCell="A48" sqref="A48:XFD52"/>
    </sheetView>
  </sheetViews>
  <sheetFormatPr defaultRowHeight="15"/>
  <cols>
    <col min="1" max="1" width="15.28515625" style="6" customWidth="1"/>
    <col min="2" max="2" width="9.140625" style="6"/>
    <col min="3" max="3" width="14.28515625" style="6" customWidth="1"/>
    <col min="4" max="4" width="49.85546875" style="4" customWidth="1"/>
    <col min="5" max="5" width="16.140625" style="4" customWidth="1"/>
    <col min="6" max="6" width="15.85546875" style="4" customWidth="1"/>
    <col min="7" max="7" width="16.42578125" style="4" customWidth="1"/>
    <col min="8" max="8" width="16" style="4" customWidth="1"/>
    <col min="9" max="9" width="14.85546875" style="4" customWidth="1"/>
    <col min="10" max="10" width="16.7109375" style="4" customWidth="1"/>
    <col min="11" max="11" width="16" style="4" customWidth="1"/>
    <col min="12" max="12" width="16.42578125" style="4" customWidth="1"/>
    <col min="13" max="13" width="10.7109375" style="4" customWidth="1"/>
    <col min="14" max="14" width="10.140625" style="4" customWidth="1"/>
    <col min="15" max="15" width="9.5703125" style="4" customWidth="1"/>
    <col min="16" max="16" width="10.7109375" style="4" customWidth="1"/>
    <col min="17" max="17" width="15.7109375" style="4" customWidth="1"/>
    <col min="18" max="18" width="15.42578125" style="4" customWidth="1"/>
    <col min="19" max="19" width="14.42578125" style="4" customWidth="1"/>
    <col min="20" max="20" width="13.7109375" style="4" customWidth="1"/>
    <col min="21" max="16384" width="9.140625" style="4"/>
  </cols>
  <sheetData>
    <row r="1" spans="1:20">
      <c r="A1" s="103"/>
      <c r="D1" s="2"/>
      <c r="E1" s="3"/>
      <c r="F1" s="3"/>
      <c r="G1" s="3"/>
      <c r="H1" s="3"/>
      <c r="I1" s="3"/>
      <c r="J1" s="3"/>
      <c r="K1" s="5"/>
      <c r="L1" s="3"/>
      <c r="M1" s="3"/>
      <c r="N1" s="33"/>
    </row>
    <row r="2" spans="1:20" s="117" customFormat="1" ht="59.25" customHeight="1">
      <c r="A2" s="153" t="s">
        <v>447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</row>
    <row r="3" spans="1:20" ht="15" customHeight="1">
      <c r="A3" s="140" t="s">
        <v>409</v>
      </c>
      <c r="B3" s="140" t="s">
        <v>410</v>
      </c>
      <c r="C3" s="143" t="s">
        <v>411</v>
      </c>
      <c r="D3" s="144" t="s">
        <v>412</v>
      </c>
      <c r="E3" s="150" t="s">
        <v>446</v>
      </c>
      <c r="F3" s="151"/>
      <c r="G3" s="151"/>
      <c r="H3" s="152"/>
      <c r="I3" s="150" t="s">
        <v>445</v>
      </c>
      <c r="J3" s="151"/>
      <c r="K3" s="151"/>
      <c r="L3" s="152"/>
      <c r="M3" s="150" t="s">
        <v>443</v>
      </c>
      <c r="N3" s="151"/>
      <c r="O3" s="151"/>
      <c r="P3" s="152"/>
      <c r="Q3" s="150" t="s">
        <v>444</v>
      </c>
      <c r="R3" s="151"/>
      <c r="S3" s="151"/>
      <c r="T3" s="152"/>
    </row>
    <row r="4" spans="1:20" ht="15" customHeight="1">
      <c r="A4" s="141"/>
      <c r="B4" s="141"/>
      <c r="C4" s="143"/>
      <c r="D4" s="144"/>
      <c r="E4" s="149" t="s">
        <v>440</v>
      </c>
      <c r="F4" s="147" t="s">
        <v>442</v>
      </c>
      <c r="G4" s="147"/>
      <c r="H4" s="147"/>
      <c r="I4" s="149" t="s">
        <v>440</v>
      </c>
      <c r="J4" s="147" t="s">
        <v>442</v>
      </c>
      <c r="K4" s="147"/>
      <c r="L4" s="147"/>
      <c r="M4" s="149" t="s">
        <v>440</v>
      </c>
      <c r="N4" s="147" t="s">
        <v>442</v>
      </c>
      <c r="O4" s="147"/>
      <c r="P4" s="147"/>
      <c r="Q4" s="149" t="s">
        <v>440</v>
      </c>
      <c r="R4" s="147" t="s">
        <v>442</v>
      </c>
      <c r="S4" s="147"/>
      <c r="T4" s="147"/>
    </row>
    <row r="5" spans="1:20" ht="15" customHeight="1">
      <c r="A5" s="141"/>
      <c r="B5" s="141"/>
      <c r="C5" s="143"/>
      <c r="D5" s="144"/>
      <c r="E5" s="149"/>
      <c r="F5" s="147" t="s">
        <v>439</v>
      </c>
      <c r="G5" s="147" t="s">
        <v>438</v>
      </c>
      <c r="H5" s="147"/>
      <c r="I5" s="149"/>
      <c r="J5" s="147" t="s">
        <v>439</v>
      </c>
      <c r="K5" s="147" t="s">
        <v>438</v>
      </c>
      <c r="L5" s="147"/>
      <c r="M5" s="149"/>
      <c r="N5" s="147" t="s">
        <v>439</v>
      </c>
      <c r="O5" s="147" t="s">
        <v>438</v>
      </c>
      <c r="P5" s="147"/>
      <c r="Q5" s="149"/>
      <c r="R5" s="147" t="s">
        <v>439</v>
      </c>
      <c r="S5" s="147" t="s">
        <v>438</v>
      </c>
      <c r="T5" s="147"/>
    </row>
    <row r="6" spans="1:20" ht="24" customHeight="1">
      <c r="A6" s="141"/>
      <c r="B6" s="141"/>
      <c r="C6" s="143"/>
      <c r="D6" s="144"/>
      <c r="E6" s="149"/>
      <c r="F6" s="148"/>
      <c r="G6" s="149" t="s">
        <v>440</v>
      </c>
      <c r="H6" s="124" t="s">
        <v>441</v>
      </c>
      <c r="I6" s="149"/>
      <c r="J6" s="148"/>
      <c r="K6" s="149" t="s">
        <v>440</v>
      </c>
      <c r="L6" s="124" t="s">
        <v>441</v>
      </c>
      <c r="M6" s="149"/>
      <c r="N6" s="148"/>
      <c r="O6" s="149" t="s">
        <v>440</v>
      </c>
      <c r="P6" s="124" t="s">
        <v>441</v>
      </c>
      <c r="Q6" s="149"/>
      <c r="R6" s="148"/>
      <c r="S6" s="149" t="s">
        <v>440</v>
      </c>
      <c r="T6" s="124" t="s">
        <v>441</v>
      </c>
    </row>
    <row r="7" spans="1:20" ht="41.25" customHeight="1">
      <c r="A7" s="142"/>
      <c r="B7" s="142"/>
      <c r="C7" s="143"/>
      <c r="D7" s="144"/>
      <c r="E7" s="149"/>
      <c r="F7" s="148"/>
      <c r="G7" s="149"/>
      <c r="H7" s="124" t="s">
        <v>9</v>
      </c>
      <c r="I7" s="149"/>
      <c r="J7" s="148"/>
      <c r="K7" s="149"/>
      <c r="L7" s="124" t="s">
        <v>9</v>
      </c>
      <c r="M7" s="149"/>
      <c r="N7" s="148"/>
      <c r="O7" s="149"/>
      <c r="P7" s="124" t="s">
        <v>9</v>
      </c>
      <c r="Q7" s="149"/>
      <c r="R7" s="148"/>
      <c r="S7" s="149"/>
      <c r="T7" s="124" t="s">
        <v>9</v>
      </c>
    </row>
    <row r="8" spans="1:20" ht="15.75">
      <c r="A8" s="10">
        <v>1</v>
      </c>
      <c r="B8" s="10">
        <v>2</v>
      </c>
      <c r="C8" s="10">
        <v>3</v>
      </c>
      <c r="D8" s="114">
        <v>4</v>
      </c>
      <c r="E8" s="115">
        <v>5</v>
      </c>
      <c r="F8" s="115">
        <v>6</v>
      </c>
      <c r="G8" s="115">
        <v>7</v>
      </c>
      <c r="H8" s="115">
        <v>8</v>
      </c>
      <c r="I8" s="115">
        <v>9</v>
      </c>
      <c r="J8" s="115">
        <v>10</v>
      </c>
      <c r="K8" s="115">
        <v>11</v>
      </c>
      <c r="L8" s="115">
        <v>12</v>
      </c>
      <c r="M8" s="115">
        <v>13</v>
      </c>
      <c r="N8" s="115">
        <v>14</v>
      </c>
      <c r="O8" s="115">
        <v>15</v>
      </c>
      <c r="P8" s="115">
        <v>16</v>
      </c>
      <c r="Q8" s="125">
        <v>17</v>
      </c>
      <c r="R8" s="125">
        <v>18</v>
      </c>
      <c r="S8" s="125">
        <v>19</v>
      </c>
      <c r="T8" s="125">
        <v>20</v>
      </c>
    </row>
    <row r="9" spans="1:20" s="95" customFormat="1" ht="32.25">
      <c r="A9" s="25" t="s">
        <v>137</v>
      </c>
      <c r="B9" s="25"/>
      <c r="C9" s="25"/>
      <c r="D9" s="26" t="s">
        <v>25</v>
      </c>
      <c r="E9" s="105">
        <f>E10</f>
        <v>36951510.090000004</v>
      </c>
      <c r="F9" s="105">
        <f t="shared" ref="F9:L9" si="0">F10</f>
        <v>32550250.900000006</v>
      </c>
      <c r="G9" s="105">
        <f t="shared" si="0"/>
        <v>4401259.1900000004</v>
      </c>
      <c r="H9" s="105">
        <f t="shared" si="0"/>
        <v>1515555.06</v>
      </c>
      <c r="I9" s="105">
        <f t="shared" si="0"/>
        <v>41378817.370000005</v>
      </c>
      <c r="J9" s="105">
        <f t="shared" si="0"/>
        <v>37863054.800000004</v>
      </c>
      <c r="K9" s="105">
        <f t="shared" si="0"/>
        <v>3515762.5700000003</v>
      </c>
      <c r="L9" s="105">
        <f t="shared" si="0"/>
        <v>353438.94</v>
      </c>
      <c r="M9" s="121">
        <f>I9/E9</f>
        <v>1.119813974292708</v>
      </c>
      <c r="N9" s="121">
        <f t="shared" ref="N9:O13" si="1">J9/F9</f>
        <v>1.1632185237625925</v>
      </c>
      <c r="O9" s="121">
        <f t="shared" si="1"/>
        <v>0.79880834511816146</v>
      </c>
      <c r="P9" s="121">
        <f>L9/H9</f>
        <v>0.2332075879842993</v>
      </c>
      <c r="Q9" s="126">
        <f>I9-E9</f>
        <v>4427307.2800000012</v>
      </c>
      <c r="R9" s="126">
        <f>J9-F9</f>
        <v>5312803.8999999985</v>
      </c>
      <c r="S9" s="126">
        <f t="shared" ref="S9:T9" si="2">K9-G9</f>
        <v>-885496.62000000011</v>
      </c>
      <c r="T9" s="126">
        <f t="shared" si="2"/>
        <v>-1162116.1200000001</v>
      </c>
    </row>
    <row r="10" spans="1:20" s="118" customFormat="1" ht="32.25">
      <c r="A10" s="25" t="s">
        <v>138</v>
      </c>
      <c r="B10" s="25"/>
      <c r="C10" s="25"/>
      <c r="D10" s="26" t="s">
        <v>25</v>
      </c>
      <c r="E10" s="106">
        <f>F10+G10</f>
        <v>36951510.090000004</v>
      </c>
      <c r="F10" s="106">
        <f>F11+F16+F17+F18+F23+F24+F25+F26+F27+F28+F30+F34+F35+F36+F37+F38+F39+F40+F41</f>
        <v>32550250.900000006</v>
      </c>
      <c r="G10" s="106">
        <f>G11+G16+G17+G18+G23+G24+G25+G26+G27+G28+G30+G34+G35+G36+G37+G38+G39+G40</f>
        <v>4401259.1900000004</v>
      </c>
      <c r="H10" s="106">
        <f>H11+H16+H17+H18+H23+H24+H25+H26+H27+H28+H30+H34+H35+H36+H37+H38+H39+H40</f>
        <v>1515555.06</v>
      </c>
      <c r="I10" s="106">
        <f>J10+K10</f>
        <v>41378817.370000005</v>
      </c>
      <c r="J10" s="106">
        <f>J11+J16+J17+J18+J23+J24+J25+J26+J27+J28+J30+J34+J35+J36+J37+J38+J39+J40</f>
        <v>37863054.800000004</v>
      </c>
      <c r="K10" s="106">
        <f>K11+K16+K17+K18+K23+K24+K25+K26+K27+K28+K30+K34+K35+K36+K37+K38+K39+K40</f>
        <v>3515762.5700000003</v>
      </c>
      <c r="L10" s="106">
        <f>L11+L16+L17+L18+L23+L24+L25+L26+L27+L28+L30+L34+L35+L36+L37+L38+L39+L40</f>
        <v>353438.94</v>
      </c>
      <c r="M10" s="121">
        <f>I10/E10</f>
        <v>1.119813974292708</v>
      </c>
      <c r="N10" s="121">
        <f t="shared" si="1"/>
        <v>1.1632185237625925</v>
      </c>
      <c r="O10" s="121">
        <f t="shared" si="1"/>
        <v>0.79880834511816146</v>
      </c>
      <c r="P10" s="121">
        <f t="shared" ref="P10:P12" si="3">L10/H10</f>
        <v>0.2332075879842993</v>
      </c>
      <c r="Q10" s="126">
        <f t="shared" ref="Q10:Q78" si="4">I10-E10</f>
        <v>4427307.2800000012</v>
      </c>
      <c r="R10" s="126">
        <f t="shared" ref="R10:R78" si="5">J10-F10</f>
        <v>5312803.8999999985</v>
      </c>
      <c r="S10" s="126">
        <f t="shared" ref="S10:S78" si="6">K10-G10</f>
        <v>-885496.62000000011</v>
      </c>
      <c r="T10" s="126">
        <f t="shared" ref="T10:T78" si="7">L10-H10</f>
        <v>-1162116.1200000001</v>
      </c>
    </row>
    <row r="11" spans="1:20" s="16" customFormat="1" ht="79.5">
      <c r="A11" s="19" t="s">
        <v>139</v>
      </c>
      <c r="B11" s="19" t="s">
        <v>117</v>
      </c>
      <c r="C11" s="19" t="s">
        <v>32</v>
      </c>
      <c r="D11" s="18" t="s">
        <v>118</v>
      </c>
      <c r="E11" s="107">
        <f>F11+G11</f>
        <v>6787453.8999999994</v>
      </c>
      <c r="F11" s="107">
        <f>F12+F13+F14+F15</f>
        <v>6663456.5699999994</v>
      </c>
      <c r="G11" s="107">
        <f t="shared" ref="G11:J11" si="8">G12+G13+G14+G15</f>
        <v>123997.33</v>
      </c>
      <c r="H11" s="107">
        <f t="shared" si="8"/>
        <v>79823.56</v>
      </c>
      <c r="I11" s="107">
        <f>J11+K11</f>
        <v>7974424.0699999994</v>
      </c>
      <c r="J11" s="107">
        <f t="shared" si="8"/>
        <v>7703128.7299999995</v>
      </c>
      <c r="K11" s="107">
        <f t="shared" ref="K11" si="9">K12+K13+K14+K15</f>
        <v>271295.34000000003</v>
      </c>
      <c r="L11" s="107">
        <f t="shared" ref="L11" si="10">L12+L13+L14+L15</f>
        <v>268578.14</v>
      </c>
      <c r="M11" s="122">
        <f>I11/E11</f>
        <v>1.1748770875629815</v>
      </c>
      <c r="N11" s="122">
        <f t="shared" si="1"/>
        <v>1.1560259527586296</v>
      </c>
      <c r="O11" s="122">
        <f t="shared" si="1"/>
        <v>2.1879127558633722</v>
      </c>
      <c r="P11" s="122">
        <f t="shared" si="3"/>
        <v>3.3646474800171782</v>
      </c>
      <c r="Q11" s="111">
        <f t="shared" si="4"/>
        <v>1186970.17</v>
      </c>
      <c r="R11" s="111">
        <f t="shared" si="5"/>
        <v>1039672.1600000001</v>
      </c>
      <c r="S11" s="111">
        <f t="shared" si="6"/>
        <v>147298.01</v>
      </c>
      <c r="T11" s="111">
        <f t="shared" si="7"/>
        <v>188754.58000000002</v>
      </c>
    </row>
    <row r="12" spans="1:20" s="37" customFormat="1" ht="37.5" customHeight="1">
      <c r="A12" s="35"/>
      <c r="B12" s="35"/>
      <c r="C12" s="35"/>
      <c r="D12" s="112" t="s">
        <v>25</v>
      </c>
      <c r="E12" s="108">
        <f>F12+G12</f>
        <v>5818766.6100000003</v>
      </c>
      <c r="F12" s="108">
        <f>5317431.89+168376.66+226957.53</f>
        <v>5712766.0800000001</v>
      </c>
      <c r="G12" s="108">
        <f>63499.56+42500.97</f>
        <v>106000.53</v>
      </c>
      <c r="H12" s="108">
        <v>63499.56</v>
      </c>
      <c r="I12" s="108">
        <f>J12+K12</f>
        <v>6921815.2199999997</v>
      </c>
      <c r="J12" s="108">
        <v>6651019.5</v>
      </c>
      <c r="K12" s="108">
        <f>268578.14+2217.58</f>
        <v>270795.72000000003</v>
      </c>
      <c r="L12" s="108">
        <v>268578.14</v>
      </c>
      <c r="M12" s="123">
        <f>I12/E12</f>
        <v>1.1895674262144018</v>
      </c>
      <c r="N12" s="123">
        <f t="shared" si="1"/>
        <v>1.1642380253034972</v>
      </c>
      <c r="O12" s="123">
        <f t="shared" si="1"/>
        <v>2.5546638304544329</v>
      </c>
      <c r="P12" s="123">
        <f t="shared" si="3"/>
        <v>4.2296063153823429</v>
      </c>
      <c r="Q12" s="116">
        <f t="shared" si="4"/>
        <v>1103048.6099999994</v>
      </c>
      <c r="R12" s="116">
        <f t="shared" si="5"/>
        <v>938253.41999999993</v>
      </c>
      <c r="S12" s="116">
        <f t="shared" si="6"/>
        <v>164795.19000000003</v>
      </c>
      <c r="T12" s="116">
        <f t="shared" si="7"/>
        <v>205078.58000000002</v>
      </c>
    </row>
    <row r="13" spans="1:20" s="37" customFormat="1" ht="39.75" customHeight="1">
      <c r="A13" s="35"/>
      <c r="B13" s="35"/>
      <c r="C13" s="35"/>
      <c r="D13" s="83" t="s">
        <v>251</v>
      </c>
      <c r="E13" s="108">
        <f t="shared" ref="E13:E80" si="11">F13+G13</f>
        <v>422476.41</v>
      </c>
      <c r="F13" s="108">
        <v>421006.92</v>
      </c>
      <c r="G13" s="108">
        <v>1469.49</v>
      </c>
      <c r="H13" s="108"/>
      <c r="I13" s="108">
        <f t="shared" ref="I13:I80" si="12">J13+K13</f>
        <v>433222.86</v>
      </c>
      <c r="J13" s="108">
        <v>432723.24</v>
      </c>
      <c r="K13" s="108">
        <v>499.62</v>
      </c>
      <c r="L13" s="108"/>
      <c r="M13" s="123">
        <f>I13/E13</f>
        <v>1.025436804862075</v>
      </c>
      <c r="N13" s="123">
        <f t="shared" si="1"/>
        <v>1.0278292812859229</v>
      </c>
      <c r="O13" s="123">
        <f t="shared" si="1"/>
        <v>0.3399955086458567</v>
      </c>
      <c r="P13" s="123"/>
      <c r="Q13" s="116">
        <f t="shared" si="4"/>
        <v>10746.450000000012</v>
      </c>
      <c r="R13" s="116">
        <f t="shared" si="5"/>
        <v>11716.320000000007</v>
      </c>
      <c r="S13" s="116">
        <f t="shared" si="6"/>
        <v>-969.87</v>
      </c>
      <c r="T13" s="116"/>
    </row>
    <row r="14" spans="1:20" s="37" customFormat="1" ht="35.25" customHeight="1">
      <c r="A14" s="35"/>
      <c r="B14" s="35"/>
      <c r="C14" s="35"/>
      <c r="D14" s="113" t="s">
        <v>17</v>
      </c>
      <c r="E14" s="108">
        <f t="shared" si="11"/>
        <v>287327.34999999998</v>
      </c>
      <c r="F14" s="108">
        <v>271003.34999999998</v>
      </c>
      <c r="G14" s="108">
        <v>16324</v>
      </c>
      <c r="H14" s="108">
        <v>16324</v>
      </c>
      <c r="I14" s="108">
        <f t="shared" si="12"/>
        <v>293105.09999999998</v>
      </c>
      <c r="J14" s="108">
        <v>293105.09999999998</v>
      </c>
      <c r="K14" s="108"/>
      <c r="L14" s="108"/>
      <c r="M14" s="123">
        <f t="shared" ref="M14:M15" si="13">I14/E14</f>
        <v>1.0201085973890061</v>
      </c>
      <c r="N14" s="123">
        <f t="shared" ref="N14:N15" si="14">J14/F14</f>
        <v>1.081555264907242</v>
      </c>
      <c r="O14" s="123"/>
      <c r="P14" s="123"/>
      <c r="Q14" s="116">
        <f t="shared" si="4"/>
        <v>5777.75</v>
      </c>
      <c r="R14" s="116">
        <f t="shared" si="5"/>
        <v>22101.75</v>
      </c>
      <c r="S14" s="116">
        <f t="shared" si="6"/>
        <v>-16324</v>
      </c>
      <c r="T14" s="116">
        <f t="shared" si="7"/>
        <v>-16324</v>
      </c>
    </row>
    <row r="15" spans="1:20" s="37" customFormat="1" ht="42" customHeight="1">
      <c r="A15" s="35"/>
      <c r="B15" s="35"/>
      <c r="C15" s="35"/>
      <c r="D15" s="113" t="s">
        <v>19</v>
      </c>
      <c r="E15" s="108">
        <f t="shared" si="11"/>
        <v>258883.53</v>
      </c>
      <c r="F15" s="108">
        <v>258680.22</v>
      </c>
      <c r="G15" s="108">
        <v>203.31</v>
      </c>
      <c r="H15" s="108"/>
      <c r="I15" s="108">
        <f t="shared" si="12"/>
        <v>326280.89</v>
      </c>
      <c r="J15" s="108">
        <v>326280.89</v>
      </c>
      <c r="K15" s="108"/>
      <c r="L15" s="108"/>
      <c r="M15" s="123">
        <f t="shared" si="13"/>
        <v>1.2603385391106185</v>
      </c>
      <c r="N15" s="123">
        <f t="shared" si="14"/>
        <v>1.2613291035549608</v>
      </c>
      <c r="O15" s="123"/>
      <c r="P15" s="123"/>
      <c r="Q15" s="116">
        <f t="shared" si="4"/>
        <v>67397.360000000015</v>
      </c>
      <c r="R15" s="116">
        <f t="shared" si="5"/>
        <v>67600.670000000013</v>
      </c>
      <c r="S15" s="116">
        <f t="shared" si="6"/>
        <v>-203.31</v>
      </c>
      <c r="T15" s="116"/>
    </row>
    <row r="16" spans="1:20" s="29" customFormat="1" ht="49.5" customHeight="1">
      <c r="A16" s="19" t="s">
        <v>237</v>
      </c>
      <c r="B16" s="19" t="s">
        <v>238</v>
      </c>
      <c r="C16" s="19" t="s">
        <v>239</v>
      </c>
      <c r="D16" s="18" t="s">
        <v>240</v>
      </c>
      <c r="E16" s="107">
        <f t="shared" si="11"/>
        <v>0</v>
      </c>
      <c r="F16" s="107">
        <v>0</v>
      </c>
      <c r="G16" s="107"/>
      <c r="H16" s="107"/>
      <c r="I16" s="107">
        <f t="shared" si="12"/>
        <v>1940</v>
      </c>
      <c r="J16" s="107">
        <v>1940</v>
      </c>
      <c r="K16" s="107"/>
      <c r="L16" s="107"/>
      <c r="M16" s="123"/>
      <c r="N16" s="123"/>
      <c r="O16" s="122"/>
      <c r="P16" s="122"/>
      <c r="Q16" s="111">
        <f t="shared" si="4"/>
        <v>1940</v>
      </c>
      <c r="R16" s="111">
        <f t="shared" si="5"/>
        <v>1940</v>
      </c>
      <c r="S16" s="111"/>
      <c r="T16" s="111"/>
    </row>
    <row r="17" spans="1:20" s="29" customFormat="1" ht="31.5" customHeight="1">
      <c r="A17" s="19" t="s">
        <v>247</v>
      </c>
      <c r="B17" s="19" t="s">
        <v>41</v>
      </c>
      <c r="C17" s="19" t="s">
        <v>37</v>
      </c>
      <c r="D17" s="23" t="s">
        <v>248</v>
      </c>
      <c r="E17" s="107">
        <f t="shared" si="11"/>
        <v>252572.32</v>
      </c>
      <c r="F17" s="107">
        <v>252572.32</v>
      </c>
      <c r="G17" s="107"/>
      <c r="H17" s="107"/>
      <c r="I17" s="107">
        <f t="shared" si="12"/>
        <v>299254.09999999998</v>
      </c>
      <c r="J17" s="107">
        <v>299254.09999999998</v>
      </c>
      <c r="K17" s="107"/>
      <c r="L17" s="107"/>
      <c r="M17" s="122">
        <f>I17/E17</f>
        <v>1.1848253997112588</v>
      </c>
      <c r="N17" s="122">
        <f>J17/F17</f>
        <v>1.1848253997112588</v>
      </c>
      <c r="O17" s="122"/>
      <c r="P17" s="122"/>
      <c r="Q17" s="111">
        <f t="shared" si="4"/>
        <v>46681.77999999997</v>
      </c>
      <c r="R17" s="111">
        <f t="shared" si="5"/>
        <v>46681.77999999997</v>
      </c>
      <c r="S17" s="111"/>
      <c r="T17" s="111"/>
    </row>
    <row r="18" spans="1:20" s="29" customFormat="1" ht="33.75" customHeight="1">
      <c r="A18" s="19" t="s">
        <v>140</v>
      </c>
      <c r="B18" s="19" t="s">
        <v>69</v>
      </c>
      <c r="C18" s="19" t="s">
        <v>70</v>
      </c>
      <c r="D18" s="12" t="s">
        <v>358</v>
      </c>
      <c r="E18" s="107">
        <f t="shared" si="11"/>
        <v>23665821.530000001</v>
      </c>
      <c r="F18" s="107">
        <v>20091778.760000002</v>
      </c>
      <c r="G18" s="107">
        <f>1435731.5+867451.02+1270860.25</f>
        <v>3574042.77</v>
      </c>
      <c r="H18" s="107">
        <v>1435731.5</v>
      </c>
      <c r="I18" s="107">
        <f t="shared" si="12"/>
        <v>26180309.710000001</v>
      </c>
      <c r="J18" s="107">
        <v>23580713.140000001</v>
      </c>
      <c r="K18" s="107">
        <f>5860.8+805140.94+1788594.83</f>
        <v>2599596.5700000003</v>
      </c>
      <c r="L18" s="107">
        <v>5860.8</v>
      </c>
      <c r="M18" s="122">
        <f>I18/E18</f>
        <v>1.1062497736160355</v>
      </c>
      <c r="N18" s="122">
        <f t="shared" ref="N18:P18" si="15">J18/F18</f>
        <v>1.1736498506018787</v>
      </c>
      <c r="O18" s="122">
        <f t="shared" si="15"/>
        <v>0.7273546337555441</v>
      </c>
      <c r="P18" s="122">
        <f t="shared" si="15"/>
        <v>4.0821003091455468E-3</v>
      </c>
      <c r="Q18" s="111">
        <f t="shared" si="4"/>
        <v>2514488.1799999997</v>
      </c>
      <c r="R18" s="111">
        <f t="shared" si="5"/>
        <v>3488934.379999999</v>
      </c>
      <c r="S18" s="111">
        <f t="shared" si="6"/>
        <v>-974446.19999999972</v>
      </c>
      <c r="T18" s="111">
        <f t="shared" si="7"/>
        <v>-1429870.7</v>
      </c>
    </row>
    <row r="19" spans="1:20" s="37" customFormat="1" ht="20.25" customHeight="1">
      <c r="A19" s="35"/>
      <c r="B19" s="35"/>
      <c r="C19" s="35"/>
      <c r="D19" s="36" t="s">
        <v>417</v>
      </c>
      <c r="E19" s="108">
        <f t="shared" si="11"/>
        <v>15374057.99</v>
      </c>
      <c r="F19" s="108">
        <v>15340617.99</v>
      </c>
      <c r="G19" s="108">
        <v>33440</v>
      </c>
      <c r="H19" s="108">
        <v>33440</v>
      </c>
      <c r="I19" s="108">
        <f t="shared" si="12"/>
        <v>12613326.9</v>
      </c>
      <c r="J19" s="108">
        <v>12613326.9</v>
      </c>
      <c r="K19" s="108"/>
      <c r="L19" s="108"/>
      <c r="M19" s="123">
        <f>I19/E19</f>
        <v>0.82042925219901552</v>
      </c>
      <c r="N19" s="123">
        <f>J19/F19</f>
        <v>0.82221765174142114</v>
      </c>
      <c r="O19" s="123"/>
      <c r="P19" s="123"/>
      <c r="Q19" s="116">
        <f t="shared" si="4"/>
        <v>-2760731.09</v>
      </c>
      <c r="R19" s="116">
        <f t="shared" si="5"/>
        <v>-2727291.09</v>
      </c>
      <c r="S19" s="116">
        <f t="shared" si="6"/>
        <v>-33440</v>
      </c>
      <c r="T19" s="116">
        <f t="shared" si="7"/>
        <v>-33440</v>
      </c>
    </row>
    <row r="20" spans="1:20" s="37" customFormat="1" ht="94.5">
      <c r="A20" s="35"/>
      <c r="B20" s="35"/>
      <c r="C20" s="35"/>
      <c r="D20" s="135" t="s">
        <v>403</v>
      </c>
      <c r="E20" s="108">
        <f t="shared" si="11"/>
        <v>0</v>
      </c>
      <c r="F20" s="108">
        <v>0</v>
      </c>
      <c r="G20" s="108"/>
      <c r="H20" s="108"/>
      <c r="I20" s="108">
        <f t="shared" si="12"/>
        <v>0</v>
      </c>
      <c r="J20" s="108">
        <v>0</v>
      </c>
      <c r="K20" s="108"/>
      <c r="L20" s="108"/>
      <c r="M20" s="123"/>
      <c r="N20" s="123"/>
      <c r="O20" s="123"/>
      <c r="P20" s="123"/>
      <c r="Q20" s="116">
        <f t="shared" si="4"/>
        <v>0</v>
      </c>
      <c r="R20" s="116">
        <f t="shared" si="5"/>
        <v>0</v>
      </c>
      <c r="S20" s="116"/>
      <c r="T20" s="116"/>
    </row>
    <row r="21" spans="1:20" s="37" customFormat="1" ht="78.75">
      <c r="A21" s="35"/>
      <c r="B21" s="35"/>
      <c r="C21" s="35"/>
      <c r="D21" s="135" t="s">
        <v>404</v>
      </c>
      <c r="E21" s="108">
        <f t="shared" si="11"/>
        <v>0</v>
      </c>
      <c r="F21" s="108">
        <v>0</v>
      </c>
      <c r="G21" s="108"/>
      <c r="H21" s="108"/>
      <c r="I21" s="108">
        <f t="shared" si="12"/>
        <v>811040</v>
      </c>
      <c r="J21" s="108">
        <v>811040</v>
      </c>
      <c r="K21" s="108"/>
      <c r="L21" s="108"/>
      <c r="M21" s="123"/>
      <c r="N21" s="123"/>
      <c r="O21" s="123"/>
      <c r="P21" s="123"/>
      <c r="Q21" s="116">
        <f t="shared" si="4"/>
        <v>811040</v>
      </c>
      <c r="R21" s="116">
        <f t="shared" si="5"/>
        <v>811040</v>
      </c>
      <c r="S21" s="116"/>
      <c r="T21" s="116"/>
    </row>
    <row r="22" spans="1:20" s="37" customFormat="1" ht="47.25">
      <c r="A22" s="35"/>
      <c r="B22" s="35"/>
      <c r="C22" s="35"/>
      <c r="D22" s="135" t="s">
        <v>450</v>
      </c>
      <c r="E22" s="108">
        <f t="shared" si="11"/>
        <v>0</v>
      </c>
      <c r="F22" s="108">
        <v>0</v>
      </c>
      <c r="G22" s="108"/>
      <c r="H22" s="108"/>
      <c r="I22" s="108">
        <f t="shared" si="12"/>
        <v>0</v>
      </c>
      <c r="J22" s="108">
        <v>0</v>
      </c>
      <c r="K22" s="108"/>
      <c r="L22" s="108"/>
      <c r="M22" s="123"/>
      <c r="N22" s="123"/>
      <c r="O22" s="123"/>
      <c r="P22" s="123"/>
      <c r="Q22" s="116">
        <f t="shared" si="4"/>
        <v>0</v>
      </c>
      <c r="R22" s="116">
        <f t="shared" si="5"/>
        <v>0</v>
      </c>
      <c r="S22" s="116"/>
      <c r="T22" s="116"/>
    </row>
    <row r="23" spans="1:20" s="29" customFormat="1" ht="18.75">
      <c r="A23" s="19" t="s">
        <v>141</v>
      </c>
      <c r="B23" s="19" t="s">
        <v>119</v>
      </c>
      <c r="C23" s="19" t="s">
        <v>71</v>
      </c>
      <c r="D23" s="12" t="s">
        <v>120</v>
      </c>
      <c r="E23" s="107">
        <f t="shared" si="11"/>
        <v>2860423.15</v>
      </c>
      <c r="F23" s="107">
        <v>2236304.06</v>
      </c>
      <c r="G23" s="107">
        <v>624119.09</v>
      </c>
      <c r="H23" s="107"/>
      <c r="I23" s="107">
        <f t="shared" si="12"/>
        <v>3038255.37</v>
      </c>
      <c r="J23" s="107">
        <v>2401384.71</v>
      </c>
      <c r="K23" s="107">
        <f>79000+544166.65+13704.01</f>
        <v>636870.66</v>
      </c>
      <c r="L23" s="107">
        <v>79000</v>
      </c>
      <c r="M23" s="122">
        <f>I23/E23</f>
        <v>1.0621698995828643</v>
      </c>
      <c r="N23" s="122">
        <f t="shared" ref="N23" si="16">J23/F23</f>
        <v>1.0738185173263066</v>
      </c>
      <c r="O23" s="122">
        <f t="shared" ref="O23" si="17">K23/G23</f>
        <v>1.0204313090311019</v>
      </c>
      <c r="P23" s="122"/>
      <c r="Q23" s="111">
        <f t="shared" si="4"/>
        <v>177832.2200000002</v>
      </c>
      <c r="R23" s="111">
        <f t="shared" si="5"/>
        <v>165080.64999999991</v>
      </c>
      <c r="S23" s="111">
        <f t="shared" si="6"/>
        <v>12751.570000000065</v>
      </c>
      <c r="T23" s="111">
        <f t="shared" si="7"/>
        <v>79000</v>
      </c>
    </row>
    <row r="24" spans="1:20" s="29" customFormat="1" ht="32.25">
      <c r="A24" s="19" t="s">
        <v>281</v>
      </c>
      <c r="B24" s="19" t="s">
        <v>276</v>
      </c>
      <c r="C24" s="19" t="s">
        <v>277</v>
      </c>
      <c r="D24" s="12" t="s">
        <v>278</v>
      </c>
      <c r="E24" s="107">
        <f t="shared" si="11"/>
        <v>28468.62</v>
      </c>
      <c r="F24" s="107">
        <v>28468.62</v>
      </c>
      <c r="G24" s="107"/>
      <c r="H24" s="107"/>
      <c r="I24" s="107">
        <f t="shared" si="12"/>
        <v>369444.42</v>
      </c>
      <c r="J24" s="107">
        <v>369444.42</v>
      </c>
      <c r="K24" s="107"/>
      <c r="L24" s="107"/>
      <c r="M24" s="122">
        <f>I24/E24</f>
        <v>12.977250741342573</v>
      </c>
      <c r="N24" s="122">
        <f>J24/F24</f>
        <v>12.977250741342573</v>
      </c>
      <c r="O24" s="122"/>
      <c r="P24" s="122"/>
      <c r="Q24" s="111">
        <f t="shared" si="4"/>
        <v>340975.8</v>
      </c>
      <c r="R24" s="111">
        <f t="shared" si="5"/>
        <v>340975.8</v>
      </c>
      <c r="S24" s="111">
        <f t="shared" si="6"/>
        <v>0</v>
      </c>
      <c r="T24" s="111">
        <f t="shared" si="7"/>
        <v>0</v>
      </c>
    </row>
    <row r="25" spans="1:20" s="29" customFormat="1" ht="32.25">
      <c r="A25" s="19" t="s">
        <v>282</v>
      </c>
      <c r="B25" s="19" t="s">
        <v>279</v>
      </c>
      <c r="C25" s="19" t="s">
        <v>277</v>
      </c>
      <c r="D25" s="12" t="s">
        <v>280</v>
      </c>
      <c r="E25" s="107">
        <f t="shared" si="11"/>
        <v>269046.01</v>
      </c>
      <c r="F25" s="107">
        <v>269046.01</v>
      </c>
      <c r="G25" s="107"/>
      <c r="H25" s="107"/>
      <c r="I25" s="107">
        <f t="shared" si="12"/>
        <v>364200</v>
      </c>
      <c r="J25" s="107">
        <v>364200</v>
      </c>
      <c r="K25" s="107"/>
      <c r="L25" s="107"/>
      <c r="M25" s="122">
        <f t="shared" ref="M25:M30" si="18">I25/E25</f>
        <v>1.3536718124903617</v>
      </c>
      <c r="N25" s="122">
        <f t="shared" ref="N25:N31" si="19">J25/F25</f>
        <v>1.3536718124903617</v>
      </c>
      <c r="O25" s="122"/>
      <c r="P25" s="122"/>
      <c r="Q25" s="111">
        <f t="shared" si="4"/>
        <v>95153.989999999991</v>
      </c>
      <c r="R25" s="111">
        <f t="shared" si="5"/>
        <v>95153.989999999991</v>
      </c>
      <c r="S25" s="111">
        <f t="shared" si="6"/>
        <v>0</v>
      </c>
      <c r="T25" s="111">
        <f t="shared" si="7"/>
        <v>0</v>
      </c>
    </row>
    <row r="26" spans="1:20" s="15" customFormat="1" ht="32.25">
      <c r="A26" s="19" t="s">
        <v>406</v>
      </c>
      <c r="B26" s="19" t="s">
        <v>93</v>
      </c>
      <c r="C26" s="19" t="s">
        <v>54</v>
      </c>
      <c r="D26" s="12" t="s">
        <v>103</v>
      </c>
      <c r="E26" s="107">
        <f t="shared" si="11"/>
        <v>1042</v>
      </c>
      <c r="F26" s="107">
        <v>1042</v>
      </c>
      <c r="G26" s="107"/>
      <c r="H26" s="107"/>
      <c r="I26" s="107">
        <f t="shared" si="12"/>
        <v>1000</v>
      </c>
      <c r="J26" s="107">
        <v>1000</v>
      </c>
      <c r="K26" s="107"/>
      <c r="L26" s="107"/>
      <c r="M26" s="122">
        <f t="shared" si="18"/>
        <v>0.95969289827255277</v>
      </c>
      <c r="N26" s="122">
        <f t="shared" si="19"/>
        <v>0.95969289827255277</v>
      </c>
      <c r="O26" s="122"/>
      <c r="P26" s="122"/>
      <c r="Q26" s="111">
        <f t="shared" si="4"/>
        <v>-42</v>
      </c>
      <c r="R26" s="111">
        <f t="shared" si="5"/>
        <v>-42</v>
      </c>
      <c r="S26" s="111">
        <f t="shared" si="6"/>
        <v>0</v>
      </c>
      <c r="T26" s="111">
        <f t="shared" si="7"/>
        <v>0</v>
      </c>
    </row>
    <row r="27" spans="1:20" ht="86.25" customHeight="1">
      <c r="A27" s="19" t="s">
        <v>407</v>
      </c>
      <c r="B27" s="19" t="s">
        <v>61</v>
      </c>
      <c r="C27" s="19" t="s">
        <v>54</v>
      </c>
      <c r="D27" s="11" t="s">
        <v>55</v>
      </c>
      <c r="E27" s="107">
        <f t="shared" si="11"/>
        <v>0</v>
      </c>
      <c r="F27" s="107"/>
      <c r="G27" s="107"/>
      <c r="H27" s="107"/>
      <c r="I27" s="107">
        <f t="shared" si="12"/>
        <v>0</v>
      </c>
      <c r="J27" s="107">
        <v>0</v>
      </c>
      <c r="K27" s="107"/>
      <c r="L27" s="107"/>
      <c r="M27" s="122"/>
      <c r="N27" s="122"/>
      <c r="O27" s="122"/>
      <c r="P27" s="122"/>
      <c r="Q27" s="111">
        <f t="shared" si="4"/>
        <v>0</v>
      </c>
      <c r="R27" s="111">
        <f t="shared" si="5"/>
        <v>0</v>
      </c>
      <c r="S27" s="111">
        <f t="shared" si="6"/>
        <v>0</v>
      </c>
      <c r="T27" s="111">
        <f t="shared" si="7"/>
        <v>0</v>
      </c>
    </row>
    <row r="28" spans="1:20" s="29" customFormat="1" ht="39.75" customHeight="1">
      <c r="A28" s="19" t="s">
        <v>320</v>
      </c>
      <c r="B28" s="19" t="s">
        <v>318</v>
      </c>
      <c r="C28" s="19" t="s">
        <v>33</v>
      </c>
      <c r="D28" s="18" t="s">
        <v>319</v>
      </c>
      <c r="E28" s="107">
        <f t="shared" si="11"/>
        <v>749500</v>
      </c>
      <c r="F28" s="107">
        <v>749500</v>
      </c>
      <c r="G28" s="107"/>
      <c r="H28" s="107"/>
      <c r="I28" s="107">
        <f t="shared" si="12"/>
        <v>1049500</v>
      </c>
      <c r="J28" s="107">
        <v>1049500</v>
      </c>
      <c r="K28" s="107"/>
      <c r="L28" s="107"/>
      <c r="M28" s="122">
        <f t="shared" si="18"/>
        <v>1.400266844563042</v>
      </c>
      <c r="N28" s="122">
        <f t="shared" si="19"/>
        <v>1.400266844563042</v>
      </c>
      <c r="O28" s="122"/>
      <c r="P28" s="122"/>
      <c r="Q28" s="111">
        <f t="shared" si="4"/>
        <v>300000</v>
      </c>
      <c r="R28" s="111">
        <f t="shared" si="5"/>
        <v>300000</v>
      </c>
      <c r="S28" s="111">
        <f t="shared" si="6"/>
        <v>0</v>
      </c>
      <c r="T28" s="111">
        <f t="shared" si="7"/>
        <v>0</v>
      </c>
    </row>
    <row r="29" spans="1:20" s="29" customFormat="1" ht="32.25" hidden="1">
      <c r="A29" s="19" t="s">
        <v>343</v>
      </c>
      <c r="B29" s="19" t="s">
        <v>263</v>
      </c>
      <c r="C29" s="19" t="s">
        <v>265</v>
      </c>
      <c r="D29" s="18" t="s">
        <v>266</v>
      </c>
      <c r="E29" s="107">
        <f t="shared" si="11"/>
        <v>0</v>
      </c>
      <c r="F29" s="107"/>
      <c r="G29" s="107"/>
      <c r="H29" s="107"/>
      <c r="I29" s="107">
        <f t="shared" si="12"/>
        <v>0</v>
      </c>
      <c r="J29" s="107"/>
      <c r="K29" s="107"/>
      <c r="L29" s="107"/>
      <c r="M29" s="122" t="e">
        <f t="shared" si="18"/>
        <v>#DIV/0!</v>
      </c>
      <c r="N29" s="122" t="e">
        <f t="shared" si="19"/>
        <v>#DIV/0!</v>
      </c>
      <c r="O29" s="122" t="e">
        <f t="shared" ref="O29:O66" si="20">K29/G29*100</f>
        <v>#DIV/0!</v>
      </c>
      <c r="P29" s="122" t="e">
        <f t="shared" ref="P29:P66" si="21">L29/H29*100</f>
        <v>#DIV/0!</v>
      </c>
      <c r="Q29" s="111">
        <f t="shared" si="4"/>
        <v>0</v>
      </c>
      <c r="R29" s="111">
        <f t="shared" si="5"/>
        <v>0</v>
      </c>
      <c r="S29" s="111">
        <f t="shared" si="6"/>
        <v>0</v>
      </c>
      <c r="T29" s="111">
        <f t="shared" si="7"/>
        <v>0</v>
      </c>
    </row>
    <row r="30" spans="1:20" s="29" customFormat="1" ht="32.25" customHeight="1">
      <c r="A30" s="19" t="s">
        <v>142</v>
      </c>
      <c r="B30" s="19" t="s">
        <v>99</v>
      </c>
      <c r="C30" s="19" t="s">
        <v>40</v>
      </c>
      <c r="D30" s="18" t="s">
        <v>121</v>
      </c>
      <c r="E30" s="107">
        <f t="shared" si="11"/>
        <v>684339.67</v>
      </c>
      <c r="F30" s="107">
        <f>F31+F32+F33</f>
        <v>684339.67</v>
      </c>
      <c r="G30" s="107">
        <f t="shared" ref="G30:J30" si="22">G31+G32+G33</f>
        <v>0</v>
      </c>
      <c r="H30" s="107">
        <f t="shared" si="22"/>
        <v>0</v>
      </c>
      <c r="I30" s="107">
        <f t="shared" si="12"/>
        <v>1118362.49</v>
      </c>
      <c r="J30" s="107">
        <f t="shared" si="22"/>
        <v>1118362.49</v>
      </c>
      <c r="K30" s="107">
        <f t="shared" ref="K30" si="23">K31+K32+K33</f>
        <v>0</v>
      </c>
      <c r="L30" s="107">
        <f t="shared" ref="L30" si="24">L31+L32+L33</f>
        <v>0</v>
      </c>
      <c r="M30" s="122">
        <f t="shared" si="18"/>
        <v>1.6342213363138804</v>
      </c>
      <c r="N30" s="122">
        <f t="shared" si="19"/>
        <v>1.6342213363138804</v>
      </c>
      <c r="O30" s="122"/>
      <c r="P30" s="122"/>
      <c r="Q30" s="111">
        <f t="shared" si="4"/>
        <v>434022.81999999995</v>
      </c>
      <c r="R30" s="111">
        <f t="shared" si="5"/>
        <v>434022.81999999995</v>
      </c>
      <c r="S30" s="111">
        <f t="shared" si="6"/>
        <v>0</v>
      </c>
      <c r="T30" s="111">
        <f t="shared" si="7"/>
        <v>0</v>
      </c>
    </row>
    <row r="31" spans="1:20" s="37" customFormat="1" ht="32.25" customHeight="1">
      <c r="A31" s="35"/>
      <c r="B31" s="35"/>
      <c r="C31" s="35"/>
      <c r="D31" s="113" t="s">
        <v>251</v>
      </c>
      <c r="E31" s="108">
        <f t="shared" si="11"/>
        <v>256460.06</v>
      </c>
      <c r="F31" s="108">
        <v>256460.06</v>
      </c>
      <c r="G31" s="108"/>
      <c r="H31" s="108"/>
      <c r="I31" s="108">
        <f t="shared" si="12"/>
        <v>684637.8</v>
      </c>
      <c r="J31" s="108">
        <v>684637.8</v>
      </c>
      <c r="K31" s="108"/>
      <c r="L31" s="108"/>
      <c r="M31" s="123">
        <f>I31/E31</f>
        <v>2.6695688989544806</v>
      </c>
      <c r="N31" s="123">
        <f t="shared" si="19"/>
        <v>2.6695688989544806</v>
      </c>
      <c r="O31" s="123"/>
      <c r="P31" s="123"/>
      <c r="Q31" s="116">
        <f t="shared" si="4"/>
        <v>428177.74000000005</v>
      </c>
      <c r="R31" s="116">
        <f t="shared" si="5"/>
        <v>428177.74000000005</v>
      </c>
      <c r="S31" s="116">
        <f t="shared" si="6"/>
        <v>0</v>
      </c>
      <c r="T31" s="116">
        <f t="shared" si="7"/>
        <v>0</v>
      </c>
    </row>
    <row r="32" spans="1:20" s="37" customFormat="1" ht="32.25" customHeight="1">
      <c r="A32" s="35"/>
      <c r="B32" s="35"/>
      <c r="C32" s="35"/>
      <c r="D32" s="113" t="s">
        <v>17</v>
      </c>
      <c r="E32" s="108">
        <f t="shared" si="11"/>
        <v>222276.2</v>
      </c>
      <c r="F32" s="108">
        <v>222276.2</v>
      </c>
      <c r="G32" s="108"/>
      <c r="H32" s="108"/>
      <c r="I32" s="108">
        <f t="shared" si="12"/>
        <v>109610.2</v>
      </c>
      <c r="J32" s="108">
        <v>109610.2</v>
      </c>
      <c r="K32" s="108"/>
      <c r="L32" s="108"/>
      <c r="M32" s="123">
        <f t="shared" ref="M32:M33" si="25">I32/E32</f>
        <v>0.49312611966553321</v>
      </c>
      <c r="N32" s="123">
        <f t="shared" ref="N32:N33" si="26">J32/F32</f>
        <v>0.49312611966553321</v>
      </c>
      <c r="O32" s="123"/>
      <c r="P32" s="123"/>
      <c r="Q32" s="116">
        <f t="shared" si="4"/>
        <v>-112666.00000000001</v>
      </c>
      <c r="R32" s="116">
        <f t="shared" si="5"/>
        <v>-112666.00000000001</v>
      </c>
      <c r="S32" s="116">
        <f t="shared" si="6"/>
        <v>0</v>
      </c>
      <c r="T32" s="116">
        <f t="shared" si="7"/>
        <v>0</v>
      </c>
    </row>
    <row r="33" spans="1:20" s="37" customFormat="1" ht="32.25" customHeight="1">
      <c r="A33" s="35"/>
      <c r="B33" s="35"/>
      <c r="C33" s="35"/>
      <c r="D33" s="113" t="s">
        <v>19</v>
      </c>
      <c r="E33" s="108">
        <f t="shared" si="11"/>
        <v>205603.41</v>
      </c>
      <c r="F33" s="108">
        <v>205603.41</v>
      </c>
      <c r="G33" s="108"/>
      <c r="H33" s="108"/>
      <c r="I33" s="108">
        <f t="shared" si="12"/>
        <v>324114.49</v>
      </c>
      <c r="J33" s="108">
        <v>324114.49</v>
      </c>
      <c r="K33" s="108"/>
      <c r="L33" s="108"/>
      <c r="M33" s="123">
        <f t="shared" si="25"/>
        <v>1.5764061987104201</v>
      </c>
      <c r="N33" s="123">
        <f t="shared" si="26"/>
        <v>1.5764061987104201</v>
      </c>
      <c r="O33" s="123"/>
      <c r="P33" s="123"/>
      <c r="Q33" s="116">
        <f t="shared" si="4"/>
        <v>118511.07999999999</v>
      </c>
      <c r="R33" s="116">
        <f t="shared" si="5"/>
        <v>118511.07999999999</v>
      </c>
      <c r="S33" s="116">
        <f t="shared" si="6"/>
        <v>0</v>
      </c>
      <c r="T33" s="116">
        <f t="shared" si="7"/>
        <v>0</v>
      </c>
    </row>
    <row r="34" spans="1:20" s="29" customFormat="1" ht="32.25">
      <c r="A34" s="19" t="s">
        <v>245</v>
      </c>
      <c r="B34" s="19" t="s">
        <v>244</v>
      </c>
      <c r="C34" s="19" t="s">
        <v>35</v>
      </c>
      <c r="D34" s="18" t="s">
        <v>246</v>
      </c>
      <c r="E34" s="107">
        <f t="shared" si="11"/>
        <v>0</v>
      </c>
      <c r="F34" s="107"/>
      <c r="G34" s="107"/>
      <c r="H34" s="107"/>
      <c r="I34" s="107">
        <f t="shared" si="12"/>
        <v>0</v>
      </c>
      <c r="J34" s="107">
        <v>0</v>
      </c>
      <c r="K34" s="107"/>
      <c r="L34" s="107"/>
      <c r="M34" s="122"/>
      <c r="N34" s="122"/>
      <c r="O34" s="122"/>
      <c r="P34" s="122"/>
      <c r="Q34" s="111">
        <f t="shared" si="4"/>
        <v>0</v>
      </c>
      <c r="R34" s="111">
        <f t="shared" si="5"/>
        <v>0</v>
      </c>
      <c r="S34" s="111">
        <f t="shared" si="6"/>
        <v>0</v>
      </c>
      <c r="T34" s="111">
        <f t="shared" si="7"/>
        <v>0</v>
      </c>
    </row>
    <row r="35" spans="1:20" s="29" customFormat="1" ht="18.75">
      <c r="A35" s="19" t="s">
        <v>197</v>
      </c>
      <c r="B35" s="19" t="s">
        <v>196</v>
      </c>
      <c r="C35" s="19" t="s">
        <v>38</v>
      </c>
      <c r="D35" s="12" t="s">
        <v>39</v>
      </c>
      <c r="E35" s="107">
        <f t="shared" si="11"/>
        <v>9139.8799999999992</v>
      </c>
      <c r="F35" s="107">
        <v>9139.8799999999992</v>
      </c>
      <c r="G35" s="107"/>
      <c r="H35" s="107"/>
      <c r="I35" s="107">
        <f t="shared" si="12"/>
        <v>2520.9299999999998</v>
      </c>
      <c r="J35" s="107">
        <v>2520.9299999999998</v>
      </c>
      <c r="K35" s="107"/>
      <c r="L35" s="107"/>
      <c r="M35" s="122">
        <f t="shared" ref="M35:M38" si="27">I35/E35</f>
        <v>0.27581653150807234</v>
      </c>
      <c r="N35" s="122">
        <f t="shared" ref="N35:N38" si="28">J35/F35</f>
        <v>0.27581653150807234</v>
      </c>
      <c r="O35" s="122"/>
      <c r="P35" s="122"/>
      <c r="Q35" s="111">
        <f t="shared" si="4"/>
        <v>-6618.9499999999989</v>
      </c>
      <c r="R35" s="111">
        <f t="shared" si="5"/>
        <v>-6618.9499999999989</v>
      </c>
      <c r="S35" s="111">
        <f t="shared" si="6"/>
        <v>0</v>
      </c>
      <c r="T35" s="111">
        <f t="shared" si="7"/>
        <v>0</v>
      </c>
    </row>
    <row r="36" spans="1:20" s="29" customFormat="1" ht="32.25">
      <c r="A36" s="19" t="s">
        <v>242</v>
      </c>
      <c r="B36" s="19" t="s">
        <v>241</v>
      </c>
      <c r="C36" s="19" t="s">
        <v>58</v>
      </c>
      <c r="D36" s="12" t="s">
        <v>243</v>
      </c>
      <c r="E36" s="107">
        <f t="shared" si="11"/>
        <v>36271</v>
      </c>
      <c r="F36" s="107">
        <v>36271</v>
      </c>
      <c r="G36" s="107"/>
      <c r="H36" s="107"/>
      <c r="I36" s="107">
        <f t="shared" si="12"/>
        <v>36169</v>
      </c>
      <c r="J36" s="107">
        <v>36169</v>
      </c>
      <c r="K36" s="107"/>
      <c r="L36" s="107"/>
      <c r="M36" s="122">
        <f t="shared" si="27"/>
        <v>0.99718783601224115</v>
      </c>
      <c r="N36" s="122">
        <f t="shared" si="28"/>
        <v>0.99718783601224115</v>
      </c>
      <c r="O36" s="122"/>
      <c r="P36" s="122"/>
      <c r="Q36" s="111">
        <f t="shared" si="4"/>
        <v>-102</v>
      </c>
      <c r="R36" s="111">
        <f t="shared" si="5"/>
        <v>-102</v>
      </c>
      <c r="S36" s="111">
        <f t="shared" si="6"/>
        <v>0</v>
      </c>
      <c r="T36" s="111">
        <f t="shared" si="7"/>
        <v>0</v>
      </c>
    </row>
    <row r="37" spans="1:20" s="29" customFormat="1" ht="37.5" customHeight="1">
      <c r="A37" s="19" t="s">
        <v>297</v>
      </c>
      <c r="B37" s="19" t="s">
        <v>296</v>
      </c>
      <c r="C37" s="19" t="s">
        <v>58</v>
      </c>
      <c r="D37" s="18" t="s">
        <v>298</v>
      </c>
      <c r="E37" s="107">
        <f t="shared" si="11"/>
        <v>657475.91</v>
      </c>
      <c r="F37" s="107">
        <v>657475.91</v>
      </c>
      <c r="G37" s="107"/>
      <c r="H37" s="107"/>
      <c r="I37" s="107">
        <f t="shared" si="12"/>
        <v>832004.45</v>
      </c>
      <c r="J37" s="107">
        <v>832004.45</v>
      </c>
      <c r="K37" s="107">
        <v>0</v>
      </c>
      <c r="L37" s="107"/>
      <c r="M37" s="122">
        <f t="shared" si="27"/>
        <v>1.2654523722397675</v>
      </c>
      <c r="N37" s="122">
        <f t="shared" si="28"/>
        <v>1.2654523722397675</v>
      </c>
      <c r="O37" s="122"/>
      <c r="P37" s="122"/>
      <c r="Q37" s="111">
        <f t="shared" si="4"/>
        <v>174528.53999999992</v>
      </c>
      <c r="R37" s="111">
        <f t="shared" si="5"/>
        <v>174528.53999999992</v>
      </c>
      <c r="S37" s="111">
        <f t="shared" si="6"/>
        <v>0</v>
      </c>
      <c r="T37" s="111">
        <f t="shared" si="7"/>
        <v>0</v>
      </c>
    </row>
    <row r="38" spans="1:20" s="29" customFormat="1" ht="57" customHeight="1">
      <c r="A38" s="19" t="s">
        <v>195</v>
      </c>
      <c r="B38" s="19" t="s">
        <v>194</v>
      </c>
      <c r="C38" s="19" t="s">
        <v>36</v>
      </c>
      <c r="D38" s="12" t="s">
        <v>299</v>
      </c>
      <c r="E38" s="107">
        <f t="shared" si="11"/>
        <v>52610.21</v>
      </c>
      <c r="F38" s="107">
        <v>52610.21</v>
      </c>
      <c r="G38" s="107"/>
      <c r="H38" s="107"/>
      <c r="I38" s="107">
        <f t="shared" si="12"/>
        <v>60959.65</v>
      </c>
      <c r="J38" s="107">
        <v>60959.65</v>
      </c>
      <c r="K38" s="107"/>
      <c r="L38" s="107"/>
      <c r="M38" s="122">
        <f t="shared" si="27"/>
        <v>1.1587037953279411</v>
      </c>
      <c r="N38" s="122">
        <f t="shared" si="28"/>
        <v>1.1587037953279411</v>
      </c>
      <c r="O38" s="122"/>
      <c r="P38" s="122"/>
      <c r="Q38" s="111">
        <f t="shared" si="4"/>
        <v>8349.4400000000023</v>
      </c>
      <c r="R38" s="111">
        <f t="shared" si="5"/>
        <v>8349.4400000000023</v>
      </c>
      <c r="S38" s="111">
        <f t="shared" si="6"/>
        <v>0</v>
      </c>
      <c r="T38" s="111">
        <f t="shared" si="7"/>
        <v>0</v>
      </c>
    </row>
    <row r="39" spans="1:20" s="29" customFormat="1" ht="32.25">
      <c r="A39" s="19" t="s">
        <v>397</v>
      </c>
      <c r="B39" s="19" t="s">
        <v>398</v>
      </c>
      <c r="C39" s="19" t="s">
        <v>399</v>
      </c>
      <c r="D39" s="12" t="s">
        <v>405</v>
      </c>
      <c r="E39" s="107">
        <f t="shared" si="11"/>
        <v>0</v>
      </c>
      <c r="F39" s="107"/>
      <c r="G39" s="107"/>
      <c r="H39" s="107"/>
      <c r="I39" s="107">
        <f t="shared" si="12"/>
        <v>42473.18</v>
      </c>
      <c r="J39" s="107">
        <v>42473.18</v>
      </c>
      <c r="K39" s="107"/>
      <c r="L39" s="107"/>
      <c r="M39" s="122"/>
      <c r="N39" s="122"/>
      <c r="O39" s="122"/>
      <c r="P39" s="122"/>
      <c r="Q39" s="111">
        <f t="shared" si="4"/>
        <v>42473.18</v>
      </c>
      <c r="R39" s="111">
        <f t="shared" si="5"/>
        <v>42473.18</v>
      </c>
      <c r="S39" s="111">
        <f t="shared" si="6"/>
        <v>0</v>
      </c>
      <c r="T39" s="111">
        <f t="shared" si="7"/>
        <v>0</v>
      </c>
    </row>
    <row r="40" spans="1:20" s="29" customFormat="1" ht="32.25">
      <c r="A40" s="19" t="s">
        <v>275</v>
      </c>
      <c r="B40" s="19" t="s">
        <v>274</v>
      </c>
      <c r="C40" s="19" t="s">
        <v>101</v>
      </c>
      <c r="D40" s="18" t="s">
        <v>295</v>
      </c>
      <c r="E40" s="107">
        <f t="shared" si="11"/>
        <v>79100</v>
      </c>
      <c r="F40" s="107"/>
      <c r="G40" s="107">
        <v>79100</v>
      </c>
      <c r="H40" s="107"/>
      <c r="I40" s="107">
        <f t="shared" si="12"/>
        <v>8000</v>
      </c>
      <c r="J40" s="107"/>
      <c r="K40" s="107">
        <v>8000</v>
      </c>
      <c r="L40" s="107"/>
      <c r="M40" s="122">
        <f>I40/E40</f>
        <v>0.1011378002528445</v>
      </c>
      <c r="N40" s="122"/>
      <c r="O40" s="122">
        <f>K40/G40</f>
        <v>0.1011378002528445</v>
      </c>
      <c r="P40" s="122"/>
      <c r="Q40" s="111">
        <f t="shared" si="4"/>
        <v>-71100</v>
      </c>
      <c r="R40" s="111">
        <f t="shared" si="5"/>
        <v>0</v>
      </c>
      <c r="S40" s="111">
        <f t="shared" si="6"/>
        <v>-71100</v>
      </c>
      <c r="T40" s="111">
        <f t="shared" si="7"/>
        <v>0</v>
      </c>
    </row>
    <row r="41" spans="1:20" s="29" customFormat="1" ht="18.75">
      <c r="A41" s="19" t="s">
        <v>192</v>
      </c>
      <c r="B41" s="19" t="s">
        <v>191</v>
      </c>
      <c r="C41" s="19" t="s">
        <v>34</v>
      </c>
      <c r="D41" s="18" t="s">
        <v>193</v>
      </c>
      <c r="E41" s="107">
        <f t="shared" si="11"/>
        <v>818245.89</v>
      </c>
      <c r="F41" s="107">
        <f>251694.53+566551.36</f>
        <v>818245.89</v>
      </c>
      <c r="G41" s="107"/>
      <c r="H41" s="107"/>
      <c r="I41" s="107"/>
      <c r="J41" s="107"/>
      <c r="K41" s="107"/>
      <c r="L41" s="107"/>
      <c r="M41" s="122"/>
      <c r="N41" s="122"/>
      <c r="O41" s="122"/>
      <c r="P41" s="122"/>
      <c r="Q41" s="111"/>
      <c r="R41" s="111"/>
      <c r="S41" s="111"/>
      <c r="T41" s="111"/>
    </row>
    <row r="42" spans="1:20" s="30" customFormat="1" ht="32.25">
      <c r="A42" s="25" t="s">
        <v>122</v>
      </c>
      <c r="B42" s="25"/>
      <c r="C42" s="25"/>
      <c r="D42" s="26" t="s">
        <v>14</v>
      </c>
      <c r="E42" s="106">
        <f>E43</f>
        <v>54391983.560000002</v>
      </c>
      <c r="F42" s="106">
        <f t="shared" ref="F42:L42" si="29">F43</f>
        <v>52021213.039999999</v>
      </c>
      <c r="G42" s="106">
        <f t="shared" si="29"/>
        <v>2370770.52</v>
      </c>
      <c r="H42" s="106">
        <f t="shared" si="29"/>
        <v>267673.19</v>
      </c>
      <c r="I42" s="106">
        <f t="shared" si="29"/>
        <v>61915765.230000004</v>
      </c>
      <c r="J42" s="106">
        <f t="shared" si="29"/>
        <v>59376051.200000003</v>
      </c>
      <c r="K42" s="106">
        <f t="shared" si="29"/>
        <v>2539714.0300000003</v>
      </c>
      <c r="L42" s="106">
        <f t="shared" si="29"/>
        <v>6086.77</v>
      </c>
      <c r="M42" s="121">
        <f>I42/E42</f>
        <v>1.1383251938532539</v>
      </c>
      <c r="N42" s="121">
        <f t="shared" ref="N42:P42" si="30">J42/F42</f>
        <v>1.1413815197724195</v>
      </c>
      <c r="O42" s="121">
        <f t="shared" si="30"/>
        <v>1.0712610134868727</v>
      </c>
      <c r="P42" s="121">
        <f t="shared" si="30"/>
        <v>2.273955789147206E-2</v>
      </c>
      <c r="Q42" s="126">
        <f t="shared" si="4"/>
        <v>7523781.6700000018</v>
      </c>
      <c r="R42" s="126">
        <f t="shared" si="5"/>
        <v>7354838.1600000039</v>
      </c>
      <c r="S42" s="126">
        <f t="shared" si="6"/>
        <v>168943.51000000024</v>
      </c>
      <c r="T42" s="126">
        <f t="shared" si="7"/>
        <v>-261586.42</v>
      </c>
    </row>
    <row r="43" spans="1:20" s="30" customFormat="1" ht="32.25">
      <c r="A43" s="25" t="s">
        <v>123</v>
      </c>
      <c r="B43" s="25"/>
      <c r="C43" s="25"/>
      <c r="D43" s="26" t="s">
        <v>14</v>
      </c>
      <c r="E43" s="106">
        <f t="shared" si="11"/>
        <v>54391983.560000002</v>
      </c>
      <c r="F43" s="106">
        <f>F44+F45+F46+F51+F53+F57+F58+F59+F60+F62+F63+F64+F65</f>
        <v>52021213.039999999</v>
      </c>
      <c r="G43" s="106">
        <f t="shared" ref="G43:J43" si="31">G44+G45+G46+G51+G53+G57+G58+G59+G60+G62+G63+G64+G65</f>
        <v>2370770.52</v>
      </c>
      <c r="H43" s="106">
        <f t="shared" si="31"/>
        <v>267673.19</v>
      </c>
      <c r="I43" s="106">
        <f t="shared" si="12"/>
        <v>61915765.230000004</v>
      </c>
      <c r="J43" s="106">
        <f t="shared" si="31"/>
        <v>59376051.200000003</v>
      </c>
      <c r="K43" s="106">
        <f t="shared" ref="K43" si="32">K44+K45+K46+K51+K53+K57+K58+K59+K60+K62+K63+K64+K65</f>
        <v>2539714.0300000003</v>
      </c>
      <c r="L43" s="106">
        <f t="shared" ref="L43" si="33">L44+L45+L46+L51+L53+L57+L58+L59+L60+L62+L63+L64+L65</f>
        <v>6086.77</v>
      </c>
      <c r="M43" s="121">
        <f>I43/E43</f>
        <v>1.1383251938532539</v>
      </c>
      <c r="N43" s="121">
        <f t="shared" ref="N43" si="34">J43/F43</f>
        <v>1.1413815197724195</v>
      </c>
      <c r="O43" s="121">
        <f t="shared" ref="O43" si="35">K43/G43</f>
        <v>1.0712610134868727</v>
      </c>
      <c r="P43" s="121">
        <f t="shared" ref="P43" si="36">L43/H43</f>
        <v>2.273955789147206E-2</v>
      </c>
      <c r="Q43" s="126">
        <f t="shared" si="4"/>
        <v>7523781.6700000018</v>
      </c>
      <c r="R43" s="126">
        <f t="shared" si="5"/>
        <v>7354838.1600000039</v>
      </c>
      <c r="S43" s="126">
        <f t="shared" si="6"/>
        <v>168943.51000000024</v>
      </c>
      <c r="T43" s="126">
        <f t="shared" si="7"/>
        <v>-261586.42</v>
      </c>
    </row>
    <row r="44" spans="1:20" s="29" customFormat="1" ht="48">
      <c r="A44" s="19" t="s">
        <v>125</v>
      </c>
      <c r="B44" s="19" t="s">
        <v>124</v>
      </c>
      <c r="C44" s="19" t="s">
        <v>32</v>
      </c>
      <c r="D44" s="27" t="s">
        <v>126</v>
      </c>
      <c r="E44" s="107">
        <f t="shared" si="11"/>
        <v>377210.93</v>
      </c>
      <c r="F44" s="107">
        <v>377210.93</v>
      </c>
      <c r="G44" s="107"/>
      <c r="H44" s="107"/>
      <c r="I44" s="107">
        <f t="shared" si="12"/>
        <v>373293.11</v>
      </c>
      <c r="J44" s="107">
        <v>373293.11</v>
      </c>
      <c r="K44" s="107"/>
      <c r="L44" s="107"/>
      <c r="M44" s="122">
        <f>I44/E44</f>
        <v>0.98961371559408418</v>
      </c>
      <c r="N44" s="122">
        <f>J44/F44</f>
        <v>0.98961371559408418</v>
      </c>
      <c r="O44" s="122"/>
      <c r="P44" s="122"/>
      <c r="Q44" s="111">
        <f t="shared" si="4"/>
        <v>-3917.820000000007</v>
      </c>
      <c r="R44" s="111">
        <f t="shared" si="5"/>
        <v>-3917.820000000007</v>
      </c>
      <c r="S44" s="111">
        <f t="shared" si="6"/>
        <v>0</v>
      </c>
      <c r="T44" s="111">
        <f t="shared" si="7"/>
        <v>0</v>
      </c>
    </row>
    <row r="45" spans="1:20" s="29" customFormat="1" ht="18.75">
      <c r="A45" s="19" t="s">
        <v>127</v>
      </c>
      <c r="B45" s="19" t="s">
        <v>42</v>
      </c>
      <c r="C45" s="19" t="s">
        <v>43</v>
      </c>
      <c r="D45" s="12" t="s">
        <v>128</v>
      </c>
      <c r="E45" s="107">
        <f t="shared" si="11"/>
        <v>18660482.039999999</v>
      </c>
      <c r="F45" s="109">
        <v>16847275.239999998</v>
      </c>
      <c r="G45" s="109">
        <f>143721.77+1577434.03+92051</f>
        <v>1813206.8</v>
      </c>
      <c r="H45" s="109">
        <v>143721.76999999999</v>
      </c>
      <c r="I45" s="107">
        <f t="shared" si="12"/>
        <v>21186499.289999999</v>
      </c>
      <c r="J45" s="107">
        <v>19648692.41</v>
      </c>
      <c r="K45" s="109">
        <f>6086.77+1467841.11+63879</f>
        <v>1537806.8800000001</v>
      </c>
      <c r="L45" s="109">
        <v>6086.77</v>
      </c>
      <c r="M45" s="122">
        <f t="shared" ref="M45:M46" si="37">I45/E45</f>
        <v>1.1353672024433941</v>
      </c>
      <c r="N45" s="122">
        <f t="shared" ref="N45:N46" si="38">J45/F45</f>
        <v>1.1662831009817349</v>
      </c>
      <c r="O45" s="122">
        <f>K45/G45</f>
        <v>0.84811444563300786</v>
      </c>
      <c r="P45" s="122">
        <f>L45/H45</f>
        <v>4.2351064838681021E-2</v>
      </c>
      <c r="Q45" s="111">
        <f t="shared" si="4"/>
        <v>2526017.25</v>
      </c>
      <c r="R45" s="111">
        <f t="shared" si="5"/>
        <v>2801417.1700000018</v>
      </c>
      <c r="S45" s="111">
        <f t="shared" si="6"/>
        <v>-275399.91999999993</v>
      </c>
      <c r="T45" s="111">
        <f t="shared" si="7"/>
        <v>-137635</v>
      </c>
    </row>
    <row r="46" spans="1:20" s="29" customFormat="1" ht="79.5">
      <c r="A46" s="19" t="s">
        <v>129</v>
      </c>
      <c r="B46" s="19" t="s">
        <v>44</v>
      </c>
      <c r="C46" s="19" t="s">
        <v>45</v>
      </c>
      <c r="D46" s="27" t="s">
        <v>46</v>
      </c>
      <c r="E46" s="107">
        <f t="shared" si="11"/>
        <v>25827157.25</v>
      </c>
      <c r="F46" s="109">
        <v>25325482.93</v>
      </c>
      <c r="G46" s="109">
        <f>86812.02+78148.3+336714</f>
        <v>501674.32</v>
      </c>
      <c r="H46" s="109">
        <v>86812.02</v>
      </c>
      <c r="I46" s="107">
        <f t="shared" si="12"/>
        <v>29592705.239999998</v>
      </c>
      <c r="J46" s="107">
        <v>28644873.18</v>
      </c>
      <c r="K46" s="109">
        <f>77644.06+870188</f>
        <v>947832.06</v>
      </c>
      <c r="L46" s="109"/>
      <c r="M46" s="122">
        <f t="shared" si="37"/>
        <v>1.1457980045403564</v>
      </c>
      <c r="N46" s="122">
        <f t="shared" si="38"/>
        <v>1.1310691787862384</v>
      </c>
      <c r="O46" s="122">
        <f>K46/G46</f>
        <v>1.8893374091781299</v>
      </c>
      <c r="P46" s="122">
        <f>L46/H46</f>
        <v>0</v>
      </c>
      <c r="Q46" s="111">
        <f t="shared" si="4"/>
        <v>3765547.9899999984</v>
      </c>
      <c r="R46" s="111">
        <f t="shared" si="5"/>
        <v>3319390.25</v>
      </c>
      <c r="S46" s="111">
        <f t="shared" si="6"/>
        <v>446157.74000000005</v>
      </c>
      <c r="T46" s="111">
        <f t="shared" si="7"/>
        <v>-86812.02</v>
      </c>
    </row>
    <row r="47" spans="1:20" s="29" customFormat="1" ht="18.75">
      <c r="A47" s="19"/>
      <c r="B47" s="19"/>
      <c r="C47" s="19"/>
      <c r="D47" s="27" t="s">
        <v>394</v>
      </c>
      <c r="E47" s="107"/>
      <c r="F47" s="109"/>
      <c r="G47" s="109"/>
      <c r="H47" s="109"/>
      <c r="I47" s="107"/>
      <c r="J47" s="107"/>
      <c r="K47" s="109"/>
      <c r="L47" s="109"/>
      <c r="M47" s="122"/>
      <c r="N47" s="122"/>
      <c r="O47" s="122"/>
      <c r="P47" s="122"/>
      <c r="Q47" s="111"/>
      <c r="R47" s="111"/>
      <c r="S47" s="111"/>
      <c r="T47" s="111"/>
    </row>
    <row r="48" spans="1:20" s="37" customFormat="1" ht="48">
      <c r="A48" s="35"/>
      <c r="B48" s="35"/>
      <c r="C48" s="35"/>
      <c r="D48" s="36" t="s">
        <v>395</v>
      </c>
      <c r="E48" s="108">
        <f t="shared" si="11"/>
        <v>16726994</v>
      </c>
      <c r="F48" s="110">
        <v>16726994</v>
      </c>
      <c r="G48" s="110"/>
      <c r="H48" s="110"/>
      <c r="I48" s="108">
        <f t="shared" si="12"/>
        <v>20280324</v>
      </c>
      <c r="J48" s="108">
        <v>20280324</v>
      </c>
      <c r="K48" s="110"/>
      <c r="L48" s="110"/>
      <c r="M48" s="123">
        <f t="shared" ref="M48:N52" si="39">I48/E48</f>
        <v>1.2124308767014564</v>
      </c>
      <c r="N48" s="123">
        <f t="shared" si="39"/>
        <v>1.2124308767014564</v>
      </c>
      <c r="O48" s="123"/>
      <c r="P48" s="123"/>
      <c r="Q48" s="116">
        <f t="shared" si="4"/>
        <v>3553330</v>
      </c>
      <c r="R48" s="116">
        <f t="shared" si="5"/>
        <v>3553330</v>
      </c>
      <c r="S48" s="116">
        <f t="shared" si="6"/>
        <v>0</v>
      </c>
      <c r="T48" s="116">
        <f t="shared" si="7"/>
        <v>0</v>
      </c>
    </row>
    <row r="49" spans="1:20" s="37" customFormat="1" ht="79.5">
      <c r="A49" s="35"/>
      <c r="B49" s="35"/>
      <c r="C49" s="35"/>
      <c r="D49" s="36" t="s">
        <v>426</v>
      </c>
      <c r="E49" s="108">
        <f t="shared" si="11"/>
        <v>0</v>
      </c>
      <c r="F49" s="110">
        <v>0</v>
      </c>
      <c r="G49" s="110"/>
      <c r="H49" s="110"/>
      <c r="I49" s="108">
        <f t="shared" si="12"/>
        <v>0</v>
      </c>
      <c r="J49" s="108">
        <v>0</v>
      </c>
      <c r="K49" s="110"/>
      <c r="L49" s="110"/>
      <c r="M49" s="123"/>
      <c r="N49" s="123"/>
      <c r="O49" s="123"/>
      <c r="P49" s="123"/>
      <c r="Q49" s="116">
        <f t="shared" si="4"/>
        <v>0</v>
      </c>
      <c r="R49" s="116">
        <f t="shared" si="5"/>
        <v>0</v>
      </c>
      <c r="S49" s="116">
        <f t="shared" si="6"/>
        <v>0</v>
      </c>
      <c r="T49" s="116">
        <f t="shared" si="7"/>
        <v>0</v>
      </c>
    </row>
    <row r="50" spans="1:20" s="37" customFormat="1" ht="48">
      <c r="A50" s="35"/>
      <c r="B50" s="35"/>
      <c r="C50" s="35"/>
      <c r="D50" s="36" t="s">
        <v>451</v>
      </c>
      <c r="E50" s="108">
        <f t="shared" si="11"/>
        <v>0</v>
      </c>
      <c r="F50" s="110">
        <v>0</v>
      </c>
      <c r="G50" s="110"/>
      <c r="H50" s="110"/>
      <c r="I50" s="108">
        <f t="shared" si="12"/>
        <v>0</v>
      </c>
      <c r="J50" s="108">
        <v>0</v>
      </c>
      <c r="K50" s="110"/>
      <c r="L50" s="110"/>
      <c r="M50" s="123"/>
      <c r="N50" s="123"/>
      <c r="O50" s="123"/>
      <c r="P50" s="123"/>
      <c r="Q50" s="116">
        <f t="shared" si="4"/>
        <v>0</v>
      </c>
      <c r="R50" s="116">
        <f t="shared" si="5"/>
        <v>0</v>
      </c>
      <c r="S50" s="116"/>
      <c r="T50" s="116"/>
    </row>
    <row r="51" spans="1:20" s="29" customFormat="1" ht="32.25">
      <c r="A51" s="19" t="s">
        <v>130</v>
      </c>
      <c r="B51" s="19" t="s">
        <v>47</v>
      </c>
      <c r="C51" s="19" t="s">
        <v>45</v>
      </c>
      <c r="D51" s="27" t="s">
        <v>48</v>
      </c>
      <c r="E51" s="107">
        <f t="shared" si="11"/>
        <v>148816.43</v>
      </c>
      <c r="F51" s="109">
        <v>148816.43</v>
      </c>
      <c r="G51" s="109"/>
      <c r="H51" s="109"/>
      <c r="I51" s="107">
        <f t="shared" si="12"/>
        <v>184302.86</v>
      </c>
      <c r="J51" s="107">
        <v>184302.86</v>
      </c>
      <c r="K51" s="109"/>
      <c r="L51" s="109"/>
      <c r="M51" s="122">
        <f t="shared" si="39"/>
        <v>1.2384577428715364</v>
      </c>
      <c r="N51" s="122">
        <f t="shared" si="39"/>
        <v>1.2384577428715364</v>
      </c>
      <c r="O51" s="122"/>
      <c r="P51" s="122"/>
      <c r="Q51" s="111">
        <f t="shared" si="4"/>
        <v>35486.429999999993</v>
      </c>
      <c r="R51" s="111">
        <f t="shared" si="5"/>
        <v>35486.429999999993</v>
      </c>
      <c r="S51" s="111">
        <f t="shared" si="6"/>
        <v>0</v>
      </c>
      <c r="T51" s="111">
        <f t="shared" si="7"/>
        <v>0</v>
      </c>
    </row>
    <row r="52" spans="1:20" s="37" customFormat="1" ht="63.75">
      <c r="A52" s="35"/>
      <c r="B52" s="35"/>
      <c r="C52" s="35"/>
      <c r="D52" s="36" t="s">
        <v>26</v>
      </c>
      <c r="E52" s="108">
        <f t="shared" si="11"/>
        <v>127967</v>
      </c>
      <c r="F52" s="110">
        <v>127967</v>
      </c>
      <c r="G52" s="110"/>
      <c r="H52" s="110"/>
      <c r="I52" s="108">
        <f t="shared" si="12"/>
        <v>141166</v>
      </c>
      <c r="J52" s="108">
        <v>141166</v>
      </c>
      <c r="K52" s="110"/>
      <c r="L52" s="110"/>
      <c r="M52" s="123">
        <f t="shared" si="39"/>
        <v>1.1031437792555894</v>
      </c>
      <c r="N52" s="123">
        <f t="shared" si="39"/>
        <v>1.1031437792555894</v>
      </c>
      <c r="O52" s="123"/>
      <c r="P52" s="123"/>
      <c r="Q52" s="116">
        <f t="shared" si="4"/>
        <v>13199</v>
      </c>
      <c r="R52" s="116">
        <f t="shared" si="5"/>
        <v>13199</v>
      </c>
      <c r="S52" s="116">
        <f t="shared" si="6"/>
        <v>0</v>
      </c>
      <c r="T52" s="116">
        <f t="shared" si="7"/>
        <v>0</v>
      </c>
    </row>
    <row r="53" spans="1:20" s="29" customFormat="1" ht="79.5">
      <c r="A53" s="19" t="s">
        <v>131</v>
      </c>
      <c r="B53" s="19" t="s">
        <v>76</v>
      </c>
      <c r="C53" s="19" t="s">
        <v>49</v>
      </c>
      <c r="D53" s="27" t="s">
        <v>107</v>
      </c>
      <c r="E53" s="107">
        <f t="shared" si="11"/>
        <v>2069485.01</v>
      </c>
      <c r="F53" s="109">
        <v>2014895.61</v>
      </c>
      <c r="G53" s="109">
        <f>37139.4+17450</f>
        <v>54589.4</v>
      </c>
      <c r="H53" s="109">
        <v>37139.4</v>
      </c>
      <c r="I53" s="107">
        <f t="shared" si="12"/>
        <v>2378188.7200000002</v>
      </c>
      <c r="J53" s="107">
        <v>2350611.7200000002</v>
      </c>
      <c r="K53" s="109">
        <v>27577</v>
      </c>
      <c r="L53" s="109"/>
      <c r="M53" s="122">
        <f>I53/E53</f>
        <v>1.1491693385109372</v>
      </c>
      <c r="N53" s="122">
        <f t="shared" ref="N53:P53" si="40">J53/F53</f>
        <v>1.1666171231570652</v>
      </c>
      <c r="O53" s="122">
        <f t="shared" si="40"/>
        <v>0.50517133362887301</v>
      </c>
      <c r="P53" s="122">
        <f t="shared" si="40"/>
        <v>0</v>
      </c>
      <c r="Q53" s="111">
        <f t="shared" si="4"/>
        <v>308703.7100000002</v>
      </c>
      <c r="R53" s="111">
        <f t="shared" si="5"/>
        <v>335716.1100000001</v>
      </c>
      <c r="S53" s="111">
        <f t="shared" si="6"/>
        <v>-27012.400000000001</v>
      </c>
      <c r="T53" s="111">
        <f t="shared" si="7"/>
        <v>-37139.4</v>
      </c>
    </row>
    <row r="54" spans="1:20" s="29" customFormat="1" ht="18.75">
      <c r="A54" s="19"/>
      <c r="B54" s="19"/>
      <c r="C54" s="19"/>
      <c r="D54" s="27" t="s">
        <v>394</v>
      </c>
      <c r="E54" s="107"/>
      <c r="F54" s="109"/>
      <c r="G54" s="109"/>
      <c r="H54" s="109"/>
      <c r="I54" s="107"/>
      <c r="J54" s="107"/>
      <c r="K54" s="109"/>
      <c r="L54" s="109"/>
      <c r="M54" s="122"/>
      <c r="N54" s="122"/>
      <c r="O54" s="122"/>
      <c r="P54" s="122"/>
      <c r="Q54" s="111"/>
      <c r="R54" s="111"/>
      <c r="S54" s="111"/>
      <c r="T54" s="111"/>
    </row>
    <row r="55" spans="1:20" s="37" customFormat="1" ht="48">
      <c r="A55" s="35"/>
      <c r="B55" s="35"/>
      <c r="C55" s="35"/>
      <c r="D55" s="36" t="s">
        <v>395</v>
      </c>
      <c r="E55" s="108">
        <f t="shared" si="11"/>
        <v>1471511</v>
      </c>
      <c r="F55" s="110">
        <v>1471511</v>
      </c>
      <c r="G55" s="110"/>
      <c r="H55" s="110"/>
      <c r="I55" s="108">
        <f t="shared" si="12"/>
        <v>1817538</v>
      </c>
      <c r="J55" s="108">
        <v>1817538</v>
      </c>
      <c r="K55" s="110"/>
      <c r="L55" s="110"/>
      <c r="M55" s="123">
        <f>I55/E55</f>
        <v>1.2351508075712652</v>
      </c>
      <c r="N55" s="123">
        <f>J55/F55</f>
        <v>1.2351508075712652</v>
      </c>
      <c r="O55" s="123"/>
      <c r="P55" s="123"/>
      <c r="Q55" s="116">
        <f t="shared" si="4"/>
        <v>346027</v>
      </c>
      <c r="R55" s="116">
        <f t="shared" si="5"/>
        <v>346027</v>
      </c>
      <c r="S55" s="116">
        <f t="shared" si="6"/>
        <v>0</v>
      </c>
      <c r="T55" s="116">
        <f t="shared" si="7"/>
        <v>0</v>
      </c>
    </row>
    <row r="56" spans="1:20" s="37" customFormat="1" ht="48">
      <c r="A56" s="35"/>
      <c r="B56" s="35"/>
      <c r="C56" s="35"/>
      <c r="D56" s="36" t="s">
        <v>451</v>
      </c>
      <c r="E56" s="108">
        <f t="shared" si="11"/>
        <v>0</v>
      </c>
      <c r="F56" s="110">
        <v>0</v>
      </c>
      <c r="G56" s="110"/>
      <c r="H56" s="110"/>
      <c r="I56" s="108">
        <f t="shared" si="12"/>
        <v>0</v>
      </c>
      <c r="J56" s="108">
        <v>0</v>
      </c>
      <c r="K56" s="110"/>
      <c r="L56" s="110"/>
      <c r="M56" s="123"/>
      <c r="N56" s="123"/>
      <c r="O56" s="123"/>
      <c r="P56" s="123"/>
      <c r="Q56" s="116">
        <f t="shared" si="4"/>
        <v>0</v>
      </c>
      <c r="R56" s="116">
        <f t="shared" si="5"/>
        <v>0</v>
      </c>
      <c r="S56" s="116"/>
      <c r="T56" s="116"/>
    </row>
    <row r="57" spans="1:20" s="29" customFormat="1" ht="48">
      <c r="A57" s="19" t="s">
        <v>132</v>
      </c>
      <c r="B57" s="19" t="s">
        <v>33</v>
      </c>
      <c r="C57" s="19" t="s">
        <v>50</v>
      </c>
      <c r="D57" s="27" t="s">
        <v>51</v>
      </c>
      <c r="E57" s="107">
        <f t="shared" si="11"/>
        <v>2180018.02</v>
      </c>
      <c r="F57" s="109">
        <v>2178718.02</v>
      </c>
      <c r="G57" s="109">
        <v>1300</v>
      </c>
      <c r="H57" s="109"/>
      <c r="I57" s="107">
        <f t="shared" si="12"/>
        <v>2715422.36</v>
      </c>
      <c r="J57" s="107">
        <v>2688924.27</v>
      </c>
      <c r="K57" s="109">
        <f>18818.09+7680</f>
        <v>26498.09</v>
      </c>
      <c r="L57" s="109"/>
      <c r="M57" s="122">
        <f>I57/E57</f>
        <v>1.245596290988457</v>
      </c>
      <c r="N57" s="122">
        <f t="shared" ref="N57" si="41">J57/F57</f>
        <v>1.2341772754970834</v>
      </c>
      <c r="O57" s="136" t="s">
        <v>453</v>
      </c>
      <c r="P57" s="122"/>
      <c r="Q57" s="111">
        <f t="shared" si="4"/>
        <v>535404.33999999985</v>
      </c>
      <c r="R57" s="111">
        <f t="shared" si="5"/>
        <v>510206.25</v>
      </c>
      <c r="S57" s="111">
        <f t="shared" si="6"/>
        <v>25198.09</v>
      </c>
      <c r="T57" s="111">
        <f t="shared" si="7"/>
        <v>0</v>
      </c>
    </row>
    <row r="58" spans="1:20" s="29" customFormat="1" ht="32.25">
      <c r="A58" s="19" t="s">
        <v>135</v>
      </c>
      <c r="B58" s="19" t="s">
        <v>133</v>
      </c>
      <c r="C58" s="19" t="s">
        <v>52</v>
      </c>
      <c r="D58" s="12" t="s">
        <v>134</v>
      </c>
      <c r="E58" s="107">
        <f t="shared" si="11"/>
        <v>20094.88</v>
      </c>
      <c r="F58" s="109">
        <v>20094.88</v>
      </c>
      <c r="G58" s="109"/>
      <c r="H58" s="109"/>
      <c r="I58" s="107">
        <f t="shared" si="12"/>
        <v>20001.400000000001</v>
      </c>
      <c r="J58" s="107">
        <v>20001.400000000001</v>
      </c>
      <c r="K58" s="109"/>
      <c r="L58" s="109"/>
      <c r="M58" s="122">
        <f t="shared" ref="M58:M65" si="42">I58/E58</f>
        <v>0.99534806876179405</v>
      </c>
      <c r="N58" s="122">
        <f t="shared" ref="N58:N65" si="43">J58/F58</f>
        <v>0.99534806876179405</v>
      </c>
      <c r="O58" s="122"/>
      <c r="P58" s="122"/>
      <c r="Q58" s="111">
        <f t="shared" si="4"/>
        <v>-93.479999999999563</v>
      </c>
      <c r="R58" s="111">
        <f t="shared" si="5"/>
        <v>-93.479999999999563</v>
      </c>
      <c r="S58" s="111">
        <f t="shared" si="6"/>
        <v>0</v>
      </c>
      <c r="T58" s="111">
        <f t="shared" si="7"/>
        <v>0</v>
      </c>
    </row>
    <row r="59" spans="1:20" s="29" customFormat="1" ht="32.25">
      <c r="A59" s="19" t="s">
        <v>151</v>
      </c>
      <c r="B59" s="19" t="s">
        <v>150</v>
      </c>
      <c r="C59" s="19" t="s">
        <v>53</v>
      </c>
      <c r="D59" s="27" t="s">
        <v>152</v>
      </c>
      <c r="E59" s="107">
        <f t="shared" si="11"/>
        <v>349290.21</v>
      </c>
      <c r="F59" s="109">
        <v>349290.21</v>
      </c>
      <c r="G59" s="109"/>
      <c r="H59" s="109"/>
      <c r="I59" s="107">
        <f t="shared" si="12"/>
        <v>379714.55</v>
      </c>
      <c r="J59" s="107">
        <v>379714.55</v>
      </c>
      <c r="K59" s="109"/>
      <c r="L59" s="109"/>
      <c r="M59" s="122">
        <f t="shared" si="42"/>
        <v>1.0871033287763776</v>
      </c>
      <c r="N59" s="122">
        <f t="shared" si="43"/>
        <v>1.0871033287763776</v>
      </c>
      <c r="O59" s="122"/>
      <c r="P59" s="122"/>
      <c r="Q59" s="111">
        <f t="shared" si="4"/>
        <v>30424.339999999967</v>
      </c>
      <c r="R59" s="111">
        <f t="shared" si="5"/>
        <v>30424.339999999967</v>
      </c>
      <c r="S59" s="111">
        <f t="shared" si="6"/>
        <v>0</v>
      </c>
      <c r="T59" s="111">
        <f t="shared" si="7"/>
        <v>0</v>
      </c>
    </row>
    <row r="60" spans="1:20" s="29" customFormat="1" ht="32.25">
      <c r="A60" s="19" t="s">
        <v>285</v>
      </c>
      <c r="B60" s="19" t="s">
        <v>284</v>
      </c>
      <c r="C60" s="19" t="s">
        <v>53</v>
      </c>
      <c r="D60" s="27" t="s">
        <v>324</v>
      </c>
      <c r="E60" s="107">
        <f t="shared" si="11"/>
        <v>1033137.47</v>
      </c>
      <c r="F60" s="109">
        <v>1033137.47</v>
      </c>
      <c r="G60" s="109"/>
      <c r="H60" s="109"/>
      <c r="I60" s="107">
        <f t="shared" si="12"/>
        <v>1305000.97</v>
      </c>
      <c r="J60" s="107">
        <v>1305000.97</v>
      </c>
      <c r="K60" s="109"/>
      <c r="L60" s="109"/>
      <c r="M60" s="122">
        <f t="shared" si="42"/>
        <v>1.2631435872711112</v>
      </c>
      <c r="N60" s="122">
        <f t="shared" si="43"/>
        <v>1.2631435872711112</v>
      </c>
      <c r="O60" s="122"/>
      <c r="P60" s="122"/>
      <c r="Q60" s="111">
        <f t="shared" si="4"/>
        <v>271863.5</v>
      </c>
      <c r="R60" s="111">
        <f t="shared" si="5"/>
        <v>271863.5</v>
      </c>
      <c r="S60" s="111">
        <f t="shared" si="6"/>
        <v>0</v>
      </c>
      <c r="T60" s="111">
        <f t="shared" si="7"/>
        <v>0</v>
      </c>
    </row>
    <row r="61" spans="1:20" s="29" customFormat="1" ht="48">
      <c r="A61" s="35"/>
      <c r="B61" s="35"/>
      <c r="C61" s="35"/>
      <c r="D61" s="36" t="s">
        <v>452</v>
      </c>
      <c r="E61" s="107">
        <f>F61</f>
        <v>0</v>
      </c>
      <c r="F61" s="109">
        <v>0</v>
      </c>
      <c r="G61" s="109"/>
      <c r="H61" s="109"/>
      <c r="I61" s="107">
        <f t="shared" si="12"/>
        <v>0</v>
      </c>
      <c r="J61" s="107">
        <v>0</v>
      </c>
      <c r="K61" s="109"/>
      <c r="L61" s="109"/>
      <c r="M61" s="122"/>
      <c r="N61" s="122"/>
      <c r="O61" s="122"/>
      <c r="P61" s="122"/>
      <c r="Q61" s="111">
        <f t="shared" si="4"/>
        <v>0</v>
      </c>
      <c r="R61" s="111">
        <f t="shared" si="5"/>
        <v>0</v>
      </c>
      <c r="S61" s="111"/>
      <c r="T61" s="111"/>
    </row>
    <row r="62" spans="1:20" s="29" customFormat="1" ht="18.75">
      <c r="A62" s="19" t="s">
        <v>325</v>
      </c>
      <c r="B62" s="19" t="s">
        <v>326</v>
      </c>
      <c r="C62" s="19" t="s">
        <v>53</v>
      </c>
      <c r="D62" s="27" t="s">
        <v>327</v>
      </c>
      <c r="E62" s="107">
        <f t="shared" si="11"/>
        <v>0</v>
      </c>
      <c r="F62" s="109">
        <v>0</v>
      </c>
      <c r="G62" s="109"/>
      <c r="H62" s="109"/>
      <c r="I62" s="107">
        <f t="shared" si="12"/>
        <v>0</v>
      </c>
      <c r="J62" s="107">
        <v>0</v>
      </c>
      <c r="K62" s="109"/>
      <c r="L62" s="109"/>
      <c r="M62" s="122"/>
      <c r="N62" s="122"/>
      <c r="O62" s="122"/>
      <c r="P62" s="122"/>
      <c r="Q62" s="111">
        <f t="shared" si="4"/>
        <v>0</v>
      </c>
      <c r="R62" s="111">
        <f t="shared" si="5"/>
        <v>0</v>
      </c>
      <c r="S62" s="111">
        <f t="shared" si="6"/>
        <v>0</v>
      </c>
      <c r="T62" s="111">
        <f t="shared" si="7"/>
        <v>0</v>
      </c>
    </row>
    <row r="63" spans="1:20" s="29" customFormat="1" ht="79.5">
      <c r="A63" s="19" t="s">
        <v>136</v>
      </c>
      <c r="B63" s="19" t="s">
        <v>61</v>
      </c>
      <c r="C63" s="19" t="s">
        <v>54</v>
      </c>
      <c r="D63" s="12" t="s">
        <v>55</v>
      </c>
      <c r="E63" s="107">
        <f t="shared" si="11"/>
        <v>0</v>
      </c>
      <c r="F63" s="107"/>
      <c r="G63" s="107"/>
      <c r="H63" s="107"/>
      <c r="I63" s="107">
        <f t="shared" si="12"/>
        <v>0</v>
      </c>
      <c r="J63" s="107">
        <v>0</v>
      </c>
      <c r="K63" s="107"/>
      <c r="L63" s="107"/>
      <c r="M63" s="122"/>
      <c r="N63" s="122"/>
      <c r="O63" s="122"/>
      <c r="P63" s="122"/>
      <c r="Q63" s="111">
        <f t="shared" si="4"/>
        <v>0</v>
      </c>
      <c r="R63" s="111">
        <f t="shared" si="5"/>
        <v>0</v>
      </c>
      <c r="S63" s="111">
        <f t="shared" si="6"/>
        <v>0</v>
      </c>
      <c r="T63" s="111">
        <f t="shared" si="7"/>
        <v>0</v>
      </c>
    </row>
    <row r="64" spans="1:20" s="29" customFormat="1" ht="32.25">
      <c r="A64" s="19" t="s">
        <v>321</v>
      </c>
      <c r="B64" s="19" t="s">
        <v>318</v>
      </c>
      <c r="C64" s="19" t="s">
        <v>33</v>
      </c>
      <c r="D64" s="27" t="s">
        <v>319</v>
      </c>
      <c r="E64" s="107">
        <f t="shared" si="11"/>
        <v>2702165.33</v>
      </c>
      <c r="F64" s="107">
        <v>2702165.33</v>
      </c>
      <c r="G64" s="107"/>
      <c r="H64" s="107"/>
      <c r="I64" s="107">
        <f t="shared" si="12"/>
        <v>2620436.13</v>
      </c>
      <c r="J64" s="107">
        <v>2620436.13</v>
      </c>
      <c r="K64" s="107"/>
      <c r="L64" s="107"/>
      <c r="M64" s="122">
        <f t="shared" si="42"/>
        <v>0.96975418228758037</v>
      </c>
      <c r="N64" s="122">
        <f t="shared" si="43"/>
        <v>0.96975418228758037</v>
      </c>
      <c r="O64" s="122"/>
      <c r="P64" s="122"/>
      <c r="Q64" s="111">
        <f t="shared" si="4"/>
        <v>-81729.200000000186</v>
      </c>
      <c r="R64" s="111">
        <f t="shared" si="5"/>
        <v>-81729.200000000186</v>
      </c>
      <c r="S64" s="111">
        <f t="shared" si="6"/>
        <v>0</v>
      </c>
      <c r="T64" s="111">
        <f t="shared" si="7"/>
        <v>0</v>
      </c>
    </row>
    <row r="65" spans="1:20" s="29" customFormat="1" ht="46.5" customHeight="1">
      <c r="A65" s="19" t="s">
        <v>143</v>
      </c>
      <c r="B65" s="19" t="s">
        <v>110</v>
      </c>
      <c r="C65" s="19" t="s">
        <v>56</v>
      </c>
      <c r="D65" s="12" t="s">
        <v>57</v>
      </c>
      <c r="E65" s="107">
        <f t="shared" si="11"/>
        <v>1024125.99</v>
      </c>
      <c r="F65" s="109">
        <v>1024125.99</v>
      </c>
      <c r="G65" s="109"/>
      <c r="H65" s="109"/>
      <c r="I65" s="107">
        <f t="shared" si="12"/>
        <v>1160200.6000000001</v>
      </c>
      <c r="J65" s="107">
        <v>1160200.6000000001</v>
      </c>
      <c r="K65" s="109"/>
      <c r="L65" s="109"/>
      <c r="M65" s="122">
        <f t="shared" si="42"/>
        <v>1.1328690135087776</v>
      </c>
      <c r="N65" s="122">
        <f t="shared" si="43"/>
        <v>1.1328690135087776</v>
      </c>
      <c r="O65" s="122"/>
      <c r="P65" s="122"/>
      <c r="Q65" s="111">
        <f t="shared" si="4"/>
        <v>136074.6100000001</v>
      </c>
      <c r="R65" s="111">
        <f t="shared" si="5"/>
        <v>136074.6100000001</v>
      </c>
      <c r="S65" s="111">
        <f t="shared" si="6"/>
        <v>0</v>
      </c>
      <c r="T65" s="111">
        <f t="shared" si="7"/>
        <v>0</v>
      </c>
    </row>
    <row r="66" spans="1:20" s="29" customFormat="1" ht="32.25" hidden="1">
      <c r="A66" s="19" t="s">
        <v>379</v>
      </c>
      <c r="B66" s="19" t="s">
        <v>291</v>
      </c>
      <c r="C66" s="19" t="s">
        <v>58</v>
      </c>
      <c r="D66" s="18" t="s">
        <v>258</v>
      </c>
      <c r="E66" s="107">
        <f t="shared" si="11"/>
        <v>0</v>
      </c>
      <c r="F66" s="109"/>
      <c r="G66" s="109"/>
      <c r="H66" s="109"/>
      <c r="I66" s="107">
        <f t="shared" si="12"/>
        <v>0</v>
      </c>
      <c r="J66" s="107"/>
      <c r="K66" s="109"/>
      <c r="L66" s="109"/>
      <c r="M66" s="122" t="e">
        <f t="shared" ref="M66" si="44">I66/E66*100</f>
        <v>#DIV/0!</v>
      </c>
      <c r="N66" s="122" t="e">
        <f t="shared" ref="N66" si="45">J66/F66*100</f>
        <v>#DIV/0!</v>
      </c>
      <c r="O66" s="122" t="e">
        <f t="shared" si="20"/>
        <v>#DIV/0!</v>
      </c>
      <c r="P66" s="122" t="e">
        <f t="shared" si="21"/>
        <v>#DIV/0!</v>
      </c>
      <c r="Q66" s="126">
        <f t="shared" si="4"/>
        <v>0</v>
      </c>
      <c r="R66" s="126">
        <f t="shared" si="5"/>
        <v>0</v>
      </c>
      <c r="S66" s="126">
        <f t="shared" si="6"/>
        <v>0</v>
      </c>
      <c r="T66" s="126">
        <f t="shared" si="7"/>
        <v>0</v>
      </c>
    </row>
    <row r="67" spans="1:20" s="30" customFormat="1" ht="35.25" customHeight="1">
      <c r="A67" s="25" t="s">
        <v>144</v>
      </c>
      <c r="B67" s="25"/>
      <c r="C67" s="25"/>
      <c r="D67" s="26" t="s">
        <v>20</v>
      </c>
      <c r="E67" s="106">
        <f>E68</f>
        <v>38977723.100000009</v>
      </c>
      <c r="F67" s="106">
        <f t="shared" ref="F67:L67" si="46">F68</f>
        <v>38948333.100000009</v>
      </c>
      <c r="G67" s="106">
        <f t="shared" si="46"/>
        <v>29390</v>
      </c>
      <c r="H67" s="106">
        <f t="shared" si="46"/>
        <v>29390</v>
      </c>
      <c r="I67" s="106">
        <f t="shared" si="46"/>
        <v>36628821.75</v>
      </c>
      <c r="J67" s="106">
        <f t="shared" si="46"/>
        <v>36594591.75</v>
      </c>
      <c r="K67" s="106">
        <f t="shared" si="46"/>
        <v>34230</v>
      </c>
      <c r="L67" s="106">
        <f t="shared" si="46"/>
        <v>30950</v>
      </c>
      <c r="M67" s="121">
        <f>I67/E67</f>
        <v>0.93973733806939563</v>
      </c>
      <c r="N67" s="121">
        <f t="shared" ref="N67:P67" si="47">J67/F67</f>
        <v>0.93956759731008854</v>
      </c>
      <c r="O67" s="121">
        <f t="shared" si="47"/>
        <v>1.164681864579789</v>
      </c>
      <c r="P67" s="121">
        <f t="shared" si="47"/>
        <v>1.0530792786662131</v>
      </c>
      <c r="Q67" s="126">
        <f t="shared" si="4"/>
        <v>-2348901.3500000089</v>
      </c>
      <c r="R67" s="126">
        <f t="shared" si="5"/>
        <v>-2353741.3500000089</v>
      </c>
      <c r="S67" s="126">
        <f t="shared" si="6"/>
        <v>4840</v>
      </c>
      <c r="T67" s="126">
        <f t="shared" si="7"/>
        <v>1560</v>
      </c>
    </row>
    <row r="68" spans="1:20" s="30" customFormat="1" ht="34.5" customHeight="1">
      <c r="A68" s="25" t="s">
        <v>145</v>
      </c>
      <c r="B68" s="25"/>
      <c r="C68" s="25"/>
      <c r="D68" s="26" t="s">
        <v>20</v>
      </c>
      <c r="E68" s="106">
        <f t="shared" si="11"/>
        <v>38977723.100000009</v>
      </c>
      <c r="F68" s="106">
        <f>F69+F70+F71+F72+F73+F74+F75+F76+F77+F78+F79+F80+F81+F82+F83+F85+F86+F87+F88+F89+F90+F91+F92+F93+F94+F95+F96+F97+F98</f>
        <v>38948333.100000009</v>
      </c>
      <c r="G68" s="106">
        <f t="shared" ref="G68:J68" si="48">G69+G70+G71+G72+G73+G74+G75+G76+G77+G78+G79+G80+G81+G82+G83+G85+G86+G87+G88+G89+G90+G91+G92+G93+G95+G96+G97+G98</f>
        <v>29390</v>
      </c>
      <c r="H68" s="106">
        <f t="shared" si="48"/>
        <v>29390</v>
      </c>
      <c r="I68" s="106">
        <f t="shared" si="12"/>
        <v>36628821.75</v>
      </c>
      <c r="J68" s="106">
        <f t="shared" si="48"/>
        <v>36594591.75</v>
      </c>
      <c r="K68" s="106">
        <f t="shared" ref="K68" si="49">K69+K70+K71+K72+K73+K74+K75+K76+K77+K78+K79+K80+K81+K82+K83+K85+K86+K87+K88+K89+K90+K91+K92+K93+K95+K96+K97+K98</f>
        <v>34230</v>
      </c>
      <c r="L68" s="106">
        <f t="shared" ref="L68" si="50">L69+L70+L71+L72+L73+L74+L75+L76+L77+L78+L79+L80+L81+L82+L83+L85+L86+L87+L88+L89+L90+L91+L92+L93+L95+L96+L97+L98</f>
        <v>30950</v>
      </c>
      <c r="M68" s="121">
        <f>I68/E68</f>
        <v>0.93973733806939563</v>
      </c>
      <c r="N68" s="121">
        <f t="shared" ref="N68:N69" si="51">J68/F68</f>
        <v>0.93956759731008854</v>
      </c>
      <c r="O68" s="121">
        <f t="shared" ref="O68:O69" si="52">K68/G68</f>
        <v>1.164681864579789</v>
      </c>
      <c r="P68" s="121">
        <f t="shared" ref="P68:P69" si="53">L68/H68</f>
        <v>1.0530792786662131</v>
      </c>
      <c r="Q68" s="126">
        <f t="shared" si="4"/>
        <v>-2348901.3500000089</v>
      </c>
      <c r="R68" s="126">
        <f t="shared" si="5"/>
        <v>-2353741.3500000089</v>
      </c>
      <c r="S68" s="126">
        <f t="shared" si="6"/>
        <v>4840</v>
      </c>
      <c r="T68" s="126">
        <f t="shared" si="7"/>
        <v>1560</v>
      </c>
    </row>
    <row r="69" spans="1:20" s="29" customFormat="1" ht="48">
      <c r="A69" s="19" t="s">
        <v>146</v>
      </c>
      <c r="B69" s="19" t="s">
        <v>124</v>
      </c>
      <c r="C69" s="19" t="s">
        <v>32</v>
      </c>
      <c r="D69" s="18" t="s">
        <v>126</v>
      </c>
      <c r="E69" s="107">
        <f t="shared" si="11"/>
        <v>2168356.79</v>
      </c>
      <c r="F69" s="107">
        <v>2138966.79</v>
      </c>
      <c r="G69" s="107">
        <v>29390</v>
      </c>
      <c r="H69" s="107">
        <v>29390</v>
      </c>
      <c r="I69" s="107">
        <f t="shared" si="12"/>
        <v>2131550.38</v>
      </c>
      <c r="J69" s="107">
        <v>2112600.38</v>
      </c>
      <c r="K69" s="107">
        <v>18950</v>
      </c>
      <c r="L69" s="107">
        <v>18950</v>
      </c>
      <c r="M69" s="122">
        <f>I69/E69</f>
        <v>0.9830256670997396</v>
      </c>
      <c r="N69" s="122">
        <f t="shared" si="51"/>
        <v>0.98767329622728728</v>
      </c>
      <c r="O69" s="122">
        <f t="shared" si="52"/>
        <v>0.64477713507995915</v>
      </c>
      <c r="P69" s="122">
        <f t="shared" si="53"/>
        <v>0.64477713507995915</v>
      </c>
      <c r="Q69" s="111">
        <f t="shared" si="4"/>
        <v>-36806.410000000149</v>
      </c>
      <c r="R69" s="111">
        <f t="shared" si="5"/>
        <v>-26366.410000000149</v>
      </c>
      <c r="S69" s="111">
        <f t="shared" si="6"/>
        <v>-10440</v>
      </c>
      <c r="T69" s="111">
        <f t="shared" si="7"/>
        <v>-10440</v>
      </c>
    </row>
    <row r="70" spans="1:20" s="16" customFormat="1" ht="18.75">
      <c r="A70" s="19" t="s">
        <v>387</v>
      </c>
      <c r="B70" s="19" t="s">
        <v>41</v>
      </c>
      <c r="C70" s="19" t="s">
        <v>37</v>
      </c>
      <c r="D70" s="85" t="s">
        <v>207</v>
      </c>
      <c r="E70" s="107">
        <f t="shared" si="11"/>
        <v>23000</v>
      </c>
      <c r="F70" s="107">
        <v>23000</v>
      </c>
      <c r="G70" s="106"/>
      <c r="H70" s="106"/>
      <c r="I70" s="107">
        <f t="shared" si="12"/>
        <v>0</v>
      </c>
      <c r="J70" s="107">
        <v>0</v>
      </c>
      <c r="K70" s="107"/>
      <c r="L70" s="107"/>
      <c r="M70" s="122">
        <f t="shared" ref="M70:M98" si="54">I70/E70</f>
        <v>0</v>
      </c>
      <c r="N70" s="122">
        <f t="shared" ref="N70:N98" si="55">J70/F70</f>
        <v>0</v>
      </c>
      <c r="O70" s="122"/>
      <c r="P70" s="122"/>
      <c r="Q70" s="111">
        <f t="shared" si="4"/>
        <v>-23000</v>
      </c>
      <c r="R70" s="111">
        <f t="shared" si="5"/>
        <v>-23000</v>
      </c>
      <c r="S70" s="111">
        <f t="shared" si="6"/>
        <v>0</v>
      </c>
      <c r="T70" s="111">
        <f t="shared" si="7"/>
        <v>0</v>
      </c>
    </row>
    <row r="71" spans="1:20" s="99" customFormat="1" ht="48">
      <c r="A71" s="19" t="s">
        <v>220</v>
      </c>
      <c r="B71" s="19" t="s">
        <v>72</v>
      </c>
      <c r="C71" s="19" t="s">
        <v>47</v>
      </c>
      <c r="D71" s="12" t="s">
        <v>219</v>
      </c>
      <c r="E71" s="107">
        <f t="shared" si="11"/>
        <v>2462390.6</v>
      </c>
      <c r="F71" s="107">
        <v>2462390.6</v>
      </c>
      <c r="G71" s="107"/>
      <c r="H71" s="107"/>
      <c r="I71" s="107">
        <f t="shared" si="12"/>
        <v>2359580.15</v>
      </c>
      <c r="J71" s="107">
        <v>2359580.15</v>
      </c>
      <c r="K71" s="107"/>
      <c r="L71" s="107"/>
      <c r="M71" s="122">
        <f t="shared" si="54"/>
        <v>0.95824770854794517</v>
      </c>
      <c r="N71" s="122">
        <f t="shared" si="55"/>
        <v>0.95824770854794517</v>
      </c>
      <c r="O71" s="122"/>
      <c r="P71" s="122"/>
      <c r="Q71" s="111">
        <f t="shared" si="4"/>
        <v>-102810.45000000019</v>
      </c>
      <c r="R71" s="111">
        <f t="shared" si="5"/>
        <v>-102810.45000000019</v>
      </c>
      <c r="S71" s="111">
        <f t="shared" si="6"/>
        <v>0</v>
      </c>
      <c r="T71" s="111">
        <f t="shared" si="7"/>
        <v>0</v>
      </c>
    </row>
    <row r="72" spans="1:20" s="99" customFormat="1" ht="32.25">
      <c r="A72" s="19" t="s">
        <v>221</v>
      </c>
      <c r="B72" s="19" t="s">
        <v>75</v>
      </c>
      <c r="C72" s="19" t="s">
        <v>47</v>
      </c>
      <c r="D72" s="12" t="s">
        <v>91</v>
      </c>
      <c r="E72" s="107">
        <f t="shared" si="11"/>
        <v>10891895.039999999</v>
      </c>
      <c r="F72" s="107">
        <v>10891895.039999999</v>
      </c>
      <c r="G72" s="107"/>
      <c r="H72" s="107"/>
      <c r="I72" s="107">
        <f t="shared" si="12"/>
        <v>8483370.9700000007</v>
      </c>
      <c r="J72" s="107">
        <v>8483370.9700000007</v>
      </c>
      <c r="K72" s="107"/>
      <c r="L72" s="107"/>
      <c r="M72" s="122">
        <f t="shared" si="54"/>
        <v>0.7788700624496655</v>
      </c>
      <c r="N72" s="122">
        <f t="shared" si="55"/>
        <v>0.7788700624496655</v>
      </c>
      <c r="O72" s="122"/>
      <c r="P72" s="122"/>
      <c r="Q72" s="111">
        <f t="shared" si="4"/>
        <v>-2408524.0699999984</v>
      </c>
      <c r="R72" s="111">
        <f t="shared" si="5"/>
        <v>-2408524.0699999984</v>
      </c>
      <c r="S72" s="111">
        <f t="shared" si="6"/>
        <v>0</v>
      </c>
      <c r="T72" s="111">
        <f t="shared" si="7"/>
        <v>0</v>
      </c>
    </row>
    <row r="73" spans="1:20" s="99" customFormat="1" ht="63.75">
      <c r="A73" s="19" t="s">
        <v>223</v>
      </c>
      <c r="B73" s="19" t="s">
        <v>73</v>
      </c>
      <c r="C73" s="19" t="s">
        <v>47</v>
      </c>
      <c r="D73" s="12" t="s">
        <v>222</v>
      </c>
      <c r="E73" s="107">
        <f t="shared" si="11"/>
        <v>15797.55</v>
      </c>
      <c r="F73" s="107">
        <v>15797.55</v>
      </c>
      <c r="G73" s="107"/>
      <c r="H73" s="107"/>
      <c r="I73" s="107">
        <f t="shared" si="12"/>
        <v>0</v>
      </c>
      <c r="J73" s="107">
        <v>0</v>
      </c>
      <c r="K73" s="107"/>
      <c r="L73" s="107"/>
      <c r="M73" s="122">
        <f t="shared" si="54"/>
        <v>0</v>
      </c>
      <c r="N73" s="122">
        <f t="shared" si="55"/>
        <v>0</v>
      </c>
      <c r="O73" s="122"/>
      <c r="P73" s="122"/>
      <c r="Q73" s="111">
        <f t="shared" si="4"/>
        <v>-15797.55</v>
      </c>
      <c r="R73" s="111">
        <f t="shared" si="5"/>
        <v>-15797.55</v>
      </c>
      <c r="S73" s="111">
        <f t="shared" si="6"/>
        <v>0</v>
      </c>
      <c r="T73" s="111">
        <f t="shared" si="7"/>
        <v>0</v>
      </c>
    </row>
    <row r="74" spans="1:20" s="99" customFormat="1" ht="48">
      <c r="A74" s="19" t="s">
        <v>225</v>
      </c>
      <c r="B74" s="19" t="s">
        <v>224</v>
      </c>
      <c r="C74" s="19" t="s">
        <v>68</v>
      </c>
      <c r="D74" s="12" t="s">
        <v>92</v>
      </c>
      <c r="E74" s="107">
        <f t="shared" si="11"/>
        <v>44539.22</v>
      </c>
      <c r="F74" s="107">
        <v>44539.22</v>
      </c>
      <c r="G74" s="107"/>
      <c r="H74" s="107"/>
      <c r="I74" s="107">
        <f t="shared" si="12"/>
        <v>8037.71</v>
      </c>
      <c r="J74" s="107">
        <v>8037.71</v>
      </c>
      <c r="K74" s="107"/>
      <c r="L74" s="107"/>
      <c r="M74" s="122">
        <f t="shared" si="54"/>
        <v>0.18046364529958089</v>
      </c>
      <c r="N74" s="122">
        <f t="shared" si="55"/>
        <v>0.18046364529958089</v>
      </c>
      <c r="O74" s="122"/>
      <c r="P74" s="122"/>
      <c r="Q74" s="111">
        <f t="shared" si="4"/>
        <v>-36501.51</v>
      </c>
      <c r="R74" s="111">
        <f t="shared" si="5"/>
        <v>-36501.51</v>
      </c>
      <c r="S74" s="111">
        <f t="shared" si="6"/>
        <v>0</v>
      </c>
      <c r="T74" s="111">
        <f t="shared" si="7"/>
        <v>0</v>
      </c>
    </row>
    <row r="75" spans="1:20" s="99" customFormat="1" ht="32.25">
      <c r="A75" s="19" t="s">
        <v>227</v>
      </c>
      <c r="B75" s="19" t="s">
        <v>74</v>
      </c>
      <c r="C75" s="19" t="s">
        <v>47</v>
      </c>
      <c r="D75" s="12" t="s">
        <v>226</v>
      </c>
      <c r="E75" s="107">
        <f t="shared" si="11"/>
        <v>58163.37</v>
      </c>
      <c r="F75" s="107">
        <v>58163.37</v>
      </c>
      <c r="G75" s="107"/>
      <c r="H75" s="107"/>
      <c r="I75" s="107">
        <f t="shared" si="12"/>
        <v>116362.38</v>
      </c>
      <c r="J75" s="107">
        <v>116362.38</v>
      </c>
      <c r="K75" s="107"/>
      <c r="L75" s="107"/>
      <c r="M75" s="122">
        <f t="shared" si="54"/>
        <v>2.0006127567917744</v>
      </c>
      <c r="N75" s="122">
        <f t="shared" si="55"/>
        <v>2.0006127567917744</v>
      </c>
      <c r="O75" s="122"/>
      <c r="P75" s="122"/>
      <c r="Q75" s="111">
        <f t="shared" si="4"/>
        <v>58199.01</v>
      </c>
      <c r="R75" s="111">
        <f t="shared" si="5"/>
        <v>58199.01</v>
      </c>
      <c r="S75" s="111">
        <f t="shared" si="6"/>
        <v>0</v>
      </c>
      <c r="T75" s="111">
        <f t="shared" si="7"/>
        <v>0</v>
      </c>
    </row>
    <row r="76" spans="1:20" s="99" customFormat="1" ht="32.25">
      <c r="A76" s="19" t="s">
        <v>228</v>
      </c>
      <c r="B76" s="19" t="s">
        <v>229</v>
      </c>
      <c r="C76" s="19" t="s">
        <v>76</v>
      </c>
      <c r="D76" s="12" t="s">
        <v>77</v>
      </c>
      <c r="E76" s="107">
        <f t="shared" si="11"/>
        <v>63826.13</v>
      </c>
      <c r="F76" s="107">
        <v>63826.13</v>
      </c>
      <c r="G76" s="107"/>
      <c r="H76" s="107"/>
      <c r="I76" s="107">
        <f t="shared" si="12"/>
        <v>0</v>
      </c>
      <c r="J76" s="107">
        <v>0</v>
      </c>
      <c r="K76" s="107"/>
      <c r="L76" s="107"/>
      <c r="M76" s="122">
        <f t="shared" si="54"/>
        <v>0</v>
      </c>
      <c r="N76" s="122">
        <f t="shared" si="55"/>
        <v>0</v>
      </c>
      <c r="O76" s="122"/>
      <c r="P76" s="122"/>
      <c r="Q76" s="111">
        <f t="shared" si="4"/>
        <v>-63826.13</v>
      </c>
      <c r="R76" s="111">
        <f t="shared" si="5"/>
        <v>-63826.13</v>
      </c>
      <c r="S76" s="111">
        <f t="shared" si="6"/>
        <v>0</v>
      </c>
      <c r="T76" s="111">
        <f t="shared" si="7"/>
        <v>0</v>
      </c>
    </row>
    <row r="77" spans="1:20" s="16" customFormat="1" ht="32.25">
      <c r="A77" s="19" t="s">
        <v>230</v>
      </c>
      <c r="B77" s="19" t="s">
        <v>78</v>
      </c>
      <c r="C77" s="19" t="s">
        <v>54</v>
      </c>
      <c r="D77" s="18" t="s">
        <v>79</v>
      </c>
      <c r="E77" s="107">
        <f t="shared" si="11"/>
        <v>183919.77</v>
      </c>
      <c r="F77" s="107">
        <v>183919.77</v>
      </c>
      <c r="G77" s="107"/>
      <c r="H77" s="107"/>
      <c r="I77" s="107">
        <f t="shared" si="12"/>
        <v>100159.86</v>
      </c>
      <c r="J77" s="107">
        <v>100159.86</v>
      </c>
      <c r="K77" s="107"/>
      <c r="L77" s="107"/>
      <c r="M77" s="122">
        <f t="shared" si="54"/>
        <v>0.54458452182709893</v>
      </c>
      <c r="N77" s="122">
        <f t="shared" si="55"/>
        <v>0.54458452182709893</v>
      </c>
      <c r="O77" s="122"/>
      <c r="P77" s="122"/>
      <c r="Q77" s="111">
        <f t="shared" si="4"/>
        <v>-83759.909999999989</v>
      </c>
      <c r="R77" s="111">
        <f t="shared" si="5"/>
        <v>-83759.909999999989</v>
      </c>
      <c r="S77" s="111">
        <f t="shared" si="6"/>
        <v>0</v>
      </c>
      <c r="T77" s="111">
        <f t="shared" si="7"/>
        <v>0</v>
      </c>
    </row>
    <row r="78" spans="1:20" s="16" customFormat="1" ht="18.75">
      <c r="A78" s="19" t="s">
        <v>231</v>
      </c>
      <c r="B78" s="19" t="s">
        <v>80</v>
      </c>
      <c r="C78" s="19" t="s">
        <v>54</v>
      </c>
      <c r="D78" s="39" t="s">
        <v>89</v>
      </c>
      <c r="E78" s="107">
        <f t="shared" si="11"/>
        <v>25800</v>
      </c>
      <c r="F78" s="107">
        <v>25800</v>
      </c>
      <c r="G78" s="107"/>
      <c r="H78" s="107"/>
      <c r="I78" s="107">
        <f t="shared" si="12"/>
        <v>65704</v>
      </c>
      <c r="J78" s="107">
        <v>65704</v>
      </c>
      <c r="K78" s="107"/>
      <c r="L78" s="107"/>
      <c r="M78" s="122">
        <f t="shared" si="54"/>
        <v>2.5466666666666669</v>
      </c>
      <c r="N78" s="122">
        <f t="shared" si="55"/>
        <v>2.5466666666666669</v>
      </c>
      <c r="O78" s="122"/>
      <c r="P78" s="122"/>
      <c r="Q78" s="111">
        <f t="shared" si="4"/>
        <v>39904</v>
      </c>
      <c r="R78" s="111">
        <f t="shared" si="5"/>
        <v>39904</v>
      </c>
      <c r="S78" s="111">
        <f t="shared" si="6"/>
        <v>0</v>
      </c>
      <c r="T78" s="111">
        <f t="shared" si="7"/>
        <v>0</v>
      </c>
    </row>
    <row r="79" spans="1:20" s="16" customFormat="1" ht="18.75">
      <c r="A79" s="19" t="s">
        <v>232</v>
      </c>
      <c r="B79" s="19" t="s">
        <v>81</v>
      </c>
      <c r="C79" s="19" t="s">
        <v>54</v>
      </c>
      <c r="D79" s="18" t="s">
        <v>82</v>
      </c>
      <c r="E79" s="107">
        <f t="shared" si="11"/>
        <v>9553762.4499999993</v>
      </c>
      <c r="F79" s="107">
        <v>9553762.4499999993</v>
      </c>
      <c r="G79" s="107"/>
      <c r="H79" s="107"/>
      <c r="I79" s="107">
        <f t="shared" si="12"/>
        <v>7761238.8399999999</v>
      </c>
      <c r="J79" s="107">
        <v>7761238.8399999999</v>
      </c>
      <c r="K79" s="107"/>
      <c r="L79" s="107"/>
      <c r="M79" s="122">
        <f t="shared" si="54"/>
        <v>0.81237511196439682</v>
      </c>
      <c r="N79" s="122">
        <f t="shared" si="55"/>
        <v>0.81237511196439682</v>
      </c>
      <c r="O79" s="122"/>
      <c r="P79" s="122"/>
      <c r="Q79" s="111">
        <f t="shared" ref="Q79:Q143" si="56">I79-E79</f>
        <v>-1792523.6099999994</v>
      </c>
      <c r="R79" s="111">
        <f t="shared" ref="R79:R143" si="57">J79-F79</f>
        <v>-1792523.6099999994</v>
      </c>
      <c r="S79" s="111">
        <f t="shared" ref="S79:S143" si="58">K79-G79</f>
        <v>0</v>
      </c>
      <c r="T79" s="111">
        <f t="shared" ref="T79:T143" si="59">L79-H79</f>
        <v>0</v>
      </c>
    </row>
    <row r="80" spans="1:20" s="16" customFormat="1" ht="32.25">
      <c r="A80" s="19" t="s">
        <v>233</v>
      </c>
      <c r="B80" s="19" t="s">
        <v>83</v>
      </c>
      <c r="C80" s="19" t="s">
        <v>54</v>
      </c>
      <c r="D80" s="18" t="s">
        <v>84</v>
      </c>
      <c r="E80" s="107">
        <f t="shared" si="11"/>
        <v>1082313.24</v>
      </c>
      <c r="F80" s="107">
        <v>1082313.24</v>
      </c>
      <c r="G80" s="107"/>
      <c r="H80" s="107"/>
      <c r="I80" s="107">
        <f t="shared" si="12"/>
        <v>1238533.46</v>
      </c>
      <c r="J80" s="107">
        <v>1238533.46</v>
      </c>
      <c r="K80" s="107"/>
      <c r="L80" s="107"/>
      <c r="M80" s="122">
        <f t="shared" si="54"/>
        <v>1.1443391933374112</v>
      </c>
      <c r="N80" s="122">
        <f t="shared" si="55"/>
        <v>1.1443391933374112</v>
      </c>
      <c r="O80" s="122"/>
      <c r="P80" s="122"/>
      <c r="Q80" s="111">
        <f t="shared" si="56"/>
        <v>156220.21999999997</v>
      </c>
      <c r="R80" s="111">
        <f t="shared" si="57"/>
        <v>156220.21999999997</v>
      </c>
      <c r="S80" s="111">
        <f t="shared" si="58"/>
        <v>0</v>
      </c>
      <c r="T80" s="111">
        <f t="shared" si="59"/>
        <v>0</v>
      </c>
    </row>
    <row r="81" spans="1:20" s="16" customFormat="1" ht="18.75">
      <c r="A81" s="19" t="s">
        <v>234</v>
      </c>
      <c r="B81" s="19" t="s">
        <v>87</v>
      </c>
      <c r="C81" s="19" t="s">
        <v>54</v>
      </c>
      <c r="D81" s="18" t="s">
        <v>86</v>
      </c>
      <c r="E81" s="107">
        <f t="shared" ref="E81:E145" si="60">F81+G81</f>
        <v>1840584.6</v>
      </c>
      <c r="F81" s="107">
        <v>1840584.6</v>
      </c>
      <c r="G81" s="107"/>
      <c r="H81" s="107"/>
      <c r="I81" s="107">
        <f t="shared" ref="I81:I145" si="61">J81+K81</f>
        <v>1979056.28</v>
      </c>
      <c r="J81" s="107">
        <v>1979056.28</v>
      </c>
      <c r="K81" s="107"/>
      <c r="L81" s="107"/>
      <c r="M81" s="122">
        <f t="shared" si="54"/>
        <v>1.075232445169866</v>
      </c>
      <c r="N81" s="122">
        <f t="shared" si="55"/>
        <v>1.075232445169866</v>
      </c>
      <c r="O81" s="122"/>
      <c r="P81" s="122"/>
      <c r="Q81" s="111">
        <f t="shared" si="56"/>
        <v>138471.67999999993</v>
      </c>
      <c r="R81" s="111">
        <f t="shared" si="57"/>
        <v>138471.67999999993</v>
      </c>
      <c r="S81" s="111">
        <f t="shared" si="58"/>
        <v>0</v>
      </c>
      <c r="T81" s="111">
        <f t="shared" si="59"/>
        <v>0</v>
      </c>
    </row>
    <row r="82" spans="1:20" s="16" customFormat="1" ht="18.75">
      <c r="A82" s="19" t="s">
        <v>235</v>
      </c>
      <c r="B82" s="19" t="s">
        <v>85</v>
      </c>
      <c r="C82" s="19" t="s">
        <v>54</v>
      </c>
      <c r="D82" s="18" t="s">
        <v>116</v>
      </c>
      <c r="E82" s="107">
        <f t="shared" si="60"/>
        <v>67894.63</v>
      </c>
      <c r="F82" s="107">
        <v>67894.63</v>
      </c>
      <c r="G82" s="107"/>
      <c r="H82" s="107"/>
      <c r="I82" s="107">
        <f t="shared" si="61"/>
        <v>59328.15</v>
      </c>
      <c r="J82" s="107">
        <v>59328.15</v>
      </c>
      <c r="K82" s="107"/>
      <c r="L82" s="107"/>
      <c r="M82" s="122">
        <f t="shared" si="54"/>
        <v>0.8738268402081284</v>
      </c>
      <c r="N82" s="122">
        <f t="shared" si="55"/>
        <v>0.8738268402081284</v>
      </c>
      <c r="O82" s="122"/>
      <c r="P82" s="122"/>
      <c r="Q82" s="111">
        <f t="shared" si="56"/>
        <v>-8566.4800000000032</v>
      </c>
      <c r="R82" s="111">
        <f t="shared" si="57"/>
        <v>-8566.4800000000032</v>
      </c>
      <c r="S82" s="111">
        <f t="shared" si="58"/>
        <v>0</v>
      </c>
      <c r="T82" s="111">
        <f t="shared" si="59"/>
        <v>0</v>
      </c>
    </row>
    <row r="83" spans="1:20" s="16" customFormat="1" ht="35.25" customHeight="1">
      <c r="A83" s="19" t="s">
        <v>236</v>
      </c>
      <c r="B83" s="19" t="s">
        <v>88</v>
      </c>
      <c r="C83" s="19" t="s">
        <v>54</v>
      </c>
      <c r="D83" s="18" t="s">
        <v>90</v>
      </c>
      <c r="E83" s="107">
        <f t="shared" si="60"/>
        <v>1536229.14</v>
      </c>
      <c r="F83" s="107">
        <v>1536229.14</v>
      </c>
      <c r="G83" s="107"/>
      <c r="H83" s="107"/>
      <c r="I83" s="107">
        <f t="shared" si="61"/>
        <v>1462185.68</v>
      </c>
      <c r="J83" s="107">
        <v>1462185.68</v>
      </c>
      <c r="K83" s="107"/>
      <c r="L83" s="107"/>
      <c r="M83" s="122">
        <f t="shared" si="54"/>
        <v>0.95180181258636976</v>
      </c>
      <c r="N83" s="122">
        <f t="shared" si="55"/>
        <v>0.95180181258636976</v>
      </c>
      <c r="O83" s="122"/>
      <c r="P83" s="122"/>
      <c r="Q83" s="111">
        <f t="shared" si="56"/>
        <v>-74043.459999999963</v>
      </c>
      <c r="R83" s="111">
        <f t="shared" si="57"/>
        <v>-74043.459999999963</v>
      </c>
      <c r="S83" s="111">
        <f t="shared" si="58"/>
        <v>0</v>
      </c>
      <c r="T83" s="111">
        <f t="shared" si="59"/>
        <v>0</v>
      </c>
    </row>
    <row r="84" spans="1:20" s="16" customFormat="1" ht="32.25" hidden="1">
      <c r="A84" s="19" t="s">
        <v>421</v>
      </c>
      <c r="B84" s="19" t="s">
        <v>422</v>
      </c>
      <c r="C84" s="19" t="s">
        <v>54</v>
      </c>
      <c r="D84" s="18" t="s">
        <v>423</v>
      </c>
      <c r="E84" s="107">
        <f t="shared" si="60"/>
        <v>0</v>
      </c>
      <c r="F84" s="107"/>
      <c r="G84" s="107"/>
      <c r="H84" s="107"/>
      <c r="I84" s="107">
        <f t="shared" si="61"/>
        <v>0</v>
      </c>
      <c r="J84" s="107"/>
      <c r="K84" s="107"/>
      <c r="L84" s="107"/>
      <c r="M84" s="122" t="e">
        <f t="shared" si="54"/>
        <v>#DIV/0!</v>
      </c>
      <c r="N84" s="122" t="e">
        <f t="shared" si="55"/>
        <v>#DIV/0!</v>
      </c>
      <c r="O84" s="122"/>
      <c r="P84" s="122"/>
      <c r="Q84" s="111">
        <f t="shared" si="56"/>
        <v>0</v>
      </c>
      <c r="R84" s="111">
        <f t="shared" si="57"/>
        <v>0</v>
      </c>
      <c r="S84" s="111">
        <f t="shared" si="58"/>
        <v>0</v>
      </c>
      <c r="T84" s="111">
        <f t="shared" si="59"/>
        <v>0</v>
      </c>
    </row>
    <row r="85" spans="1:20" s="16" customFormat="1" ht="30.75">
      <c r="A85" s="19" t="s">
        <v>429</v>
      </c>
      <c r="B85" s="50" t="s">
        <v>427</v>
      </c>
      <c r="C85" s="50" t="s">
        <v>76</v>
      </c>
      <c r="D85" s="55" t="s">
        <v>428</v>
      </c>
      <c r="E85" s="107">
        <f t="shared" si="60"/>
        <v>0</v>
      </c>
      <c r="F85" s="107">
        <v>0</v>
      </c>
      <c r="G85" s="107"/>
      <c r="H85" s="107"/>
      <c r="I85" s="107">
        <f t="shared" si="61"/>
        <v>32310</v>
      </c>
      <c r="J85" s="107">
        <v>32310</v>
      </c>
      <c r="K85" s="107"/>
      <c r="L85" s="107"/>
      <c r="M85" s="122"/>
      <c r="N85" s="122"/>
      <c r="O85" s="122"/>
      <c r="P85" s="122"/>
      <c r="Q85" s="111">
        <f t="shared" si="56"/>
        <v>32310</v>
      </c>
      <c r="R85" s="111">
        <f t="shared" si="57"/>
        <v>32310</v>
      </c>
      <c r="S85" s="111">
        <f t="shared" si="58"/>
        <v>0</v>
      </c>
      <c r="T85" s="111">
        <f t="shared" si="59"/>
        <v>0</v>
      </c>
    </row>
    <row r="86" spans="1:20" s="16" customFormat="1" ht="48">
      <c r="A86" s="19" t="s">
        <v>302</v>
      </c>
      <c r="B86" s="19" t="s">
        <v>304</v>
      </c>
      <c r="C86" s="19" t="s">
        <v>42</v>
      </c>
      <c r="D86" s="12" t="s">
        <v>306</v>
      </c>
      <c r="E86" s="107">
        <f t="shared" si="60"/>
        <v>2428669.59</v>
      </c>
      <c r="F86" s="107">
        <v>2428669.59</v>
      </c>
      <c r="G86" s="107"/>
      <c r="H86" s="107"/>
      <c r="I86" s="107">
        <f t="shared" si="61"/>
        <v>2608115.89</v>
      </c>
      <c r="J86" s="107">
        <v>2608115.89</v>
      </c>
      <c r="K86" s="107"/>
      <c r="L86" s="107"/>
      <c r="M86" s="122">
        <f t="shared" si="54"/>
        <v>1.07388666648558</v>
      </c>
      <c r="N86" s="122">
        <f t="shared" si="55"/>
        <v>1.07388666648558</v>
      </c>
      <c r="O86" s="122"/>
      <c r="P86" s="122"/>
      <c r="Q86" s="111">
        <f t="shared" si="56"/>
        <v>179446.30000000028</v>
      </c>
      <c r="R86" s="111">
        <f t="shared" si="57"/>
        <v>179446.30000000028</v>
      </c>
      <c r="S86" s="111">
        <f t="shared" si="58"/>
        <v>0</v>
      </c>
      <c r="T86" s="111">
        <f t="shared" si="59"/>
        <v>0</v>
      </c>
    </row>
    <row r="87" spans="1:20" s="16" customFormat="1" ht="63.75">
      <c r="A87" s="19" t="s">
        <v>424</v>
      </c>
      <c r="B87" s="19" t="s">
        <v>328</v>
      </c>
      <c r="C87" s="19" t="s">
        <v>42</v>
      </c>
      <c r="D87" s="12" t="s">
        <v>329</v>
      </c>
      <c r="E87" s="107">
        <f t="shared" si="60"/>
        <v>801185.07</v>
      </c>
      <c r="F87" s="107">
        <v>801185.07</v>
      </c>
      <c r="G87" s="107"/>
      <c r="H87" s="107"/>
      <c r="I87" s="107">
        <f t="shared" si="61"/>
        <v>794004.34</v>
      </c>
      <c r="J87" s="107">
        <v>794004.34</v>
      </c>
      <c r="K87" s="107"/>
      <c r="L87" s="107"/>
      <c r="M87" s="122">
        <f t="shared" si="54"/>
        <v>0.99103736418852639</v>
      </c>
      <c r="N87" s="122">
        <f t="shared" si="55"/>
        <v>0.99103736418852639</v>
      </c>
      <c r="O87" s="122"/>
      <c r="P87" s="122"/>
      <c r="Q87" s="111">
        <f t="shared" si="56"/>
        <v>-7180.7299999999814</v>
      </c>
      <c r="R87" s="111">
        <f t="shared" si="57"/>
        <v>-7180.7299999999814</v>
      </c>
      <c r="S87" s="111">
        <f t="shared" si="58"/>
        <v>0</v>
      </c>
      <c r="T87" s="111">
        <f t="shared" si="59"/>
        <v>0</v>
      </c>
    </row>
    <row r="88" spans="1:20" s="16" customFormat="1" ht="48">
      <c r="A88" s="19" t="s">
        <v>303</v>
      </c>
      <c r="B88" s="19" t="s">
        <v>305</v>
      </c>
      <c r="C88" s="19" t="s">
        <v>42</v>
      </c>
      <c r="D88" s="12" t="s">
        <v>307</v>
      </c>
      <c r="E88" s="107">
        <f t="shared" si="60"/>
        <v>268276.37</v>
      </c>
      <c r="F88" s="107">
        <v>268276.37</v>
      </c>
      <c r="G88" s="106"/>
      <c r="H88" s="106"/>
      <c r="I88" s="107">
        <f t="shared" si="61"/>
        <v>271249.39</v>
      </c>
      <c r="J88" s="107">
        <v>271249.39</v>
      </c>
      <c r="K88" s="107"/>
      <c r="L88" s="107"/>
      <c r="M88" s="122">
        <f t="shared" si="54"/>
        <v>1.0110819301752145</v>
      </c>
      <c r="N88" s="122">
        <f t="shared" si="55"/>
        <v>1.0110819301752145</v>
      </c>
      <c r="O88" s="122"/>
      <c r="P88" s="122"/>
      <c r="Q88" s="111">
        <f t="shared" si="56"/>
        <v>2973.0200000000186</v>
      </c>
      <c r="R88" s="111">
        <f t="shared" si="57"/>
        <v>2973.0200000000186</v>
      </c>
      <c r="S88" s="111">
        <f t="shared" si="58"/>
        <v>0</v>
      </c>
      <c r="T88" s="111">
        <f t="shared" si="59"/>
        <v>0</v>
      </c>
    </row>
    <row r="89" spans="1:20" s="29" customFormat="1" ht="63.75">
      <c r="A89" s="19" t="s">
        <v>402</v>
      </c>
      <c r="B89" s="19" t="s">
        <v>400</v>
      </c>
      <c r="C89" s="19" t="s">
        <v>54</v>
      </c>
      <c r="D89" s="12" t="s">
        <v>401</v>
      </c>
      <c r="E89" s="107">
        <f t="shared" si="60"/>
        <v>0</v>
      </c>
      <c r="F89" s="109">
        <v>0</v>
      </c>
      <c r="G89" s="109"/>
      <c r="H89" s="109"/>
      <c r="I89" s="107">
        <f t="shared" si="61"/>
        <v>57250.15</v>
      </c>
      <c r="J89" s="109">
        <v>57250.15</v>
      </c>
      <c r="K89" s="109"/>
      <c r="L89" s="109"/>
      <c r="M89" s="122"/>
      <c r="N89" s="122"/>
      <c r="O89" s="122"/>
      <c r="P89" s="122"/>
      <c r="Q89" s="111">
        <f t="shared" si="56"/>
        <v>57250.15</v>
      </c>
      <c r="R89" s="111">
        <f t="shared" si="57"/>
        <v>57250.15</v>
      </c>
      <c r="S89" s="111">
        <f t="shared" si="58"/>
        <v>0</v>
      </c>
      <c r="T89" s="111">
        <f t="shared" si="59"/>
        <v>0</v>
      </c>
    </row>
    <row r="90" spans="1:20" s="29" customFormat="1" ht="38.25" customHeight="1">
      <c r="A90" s="19" t="s">
        <v>430</v>
      </c>
      <c r="B90" s="19" t="s">
        <v>431</v>
      </c>
      <c r="C90" s="19" t="s">
        <v>47</v>
      </c>
      <c r="D90" s="12" t="s">
        <v>432</v>
      </c>
      <c r="E90" s="107">
        <f t="shared" si="60"/>
        <v>0</v>
      </c>
      <c r="F90" s="109">
        <v>0</v>
      </c>
      <c r="G90" s="109"/>
      <c r="H90" s="109"/>
      <c r="I90" s="107">
        <f t="shared" si="61"/>
        <v>13560.86</v>
      </c>
      <c r="J90" s="109">
        <v>13560.86</v>
      </c>
      <c r="K90" s="109"/>
      <c r="L90" s="109"/>
      <c r="M90" s="122"/>
      <c r="N90" s="122"/>
      <c r="O90" s="122"/>
      <c r="P90" s="122"/>
      <c r="Q90" s="111">
        <f t="shared" si="56"/>
        <v>13560.86</v>
      </c>
      <c r="R90" s="111">
        <f t="shared" si="57"/>
        <v>13560.86</v>
      </c>
      <c r="S90" s="111">
        <f t="shared" si="58"/>
        <v>0</v>
      </c>
      <c r="T90" s="111">
        <f t="shared" si="59"/>
        <v>0</v>
      </c>
    </row>
    <row r="91" spans="1:20" s="16" customFormat="1" ht="63.75">
      <c r="A91" s="19" t="s">
        <v>250</v>
      </c>
      <c r="B91" s="19" t="s">
        <v>249</v>
      </c>
      <c r="C91" s="19" t="s">
        <v>44</v>
      </c>
      <c r="D91" s="12" t="s">
        <v>308</v>
      </c>
      <c r="E91" s="107">
        <f t="shared" si="60"/>
        <v>1259556.5900000001</v>
      </c>
      <c r="F91" s="107">
        <v>1259556.5900000001</v>
      </c>
      <c r="G91" s="107"/>
      <c r="H91" s="107"/>
      <c r="I91" s="107">
        <f t="shared" si="61"/>
        <v>1472540.05</v>
      </c>
      <c r="J91" s="107">
        <v>1469260.05</v>
      </c>
      <c r="K91" s="107">
        <v>3280</v>
      </c>
      <c r="L91" s="107"/>
      <c r="M91" s="122">
        <f t="shared" si="54"/>
        <v>1.1690939983887505</v>
      </c>
      <c r="N91" s="122">
        <f t="shared" si="55"/>
        <v>1.1664899073728794</v>
      </c>
      <c r="O91" s="122"/>
      <c r="P91" s="122"/>
      <c r="Q91" s="111">
        <f t="shared" si="56"/>
        <v>212983.45999999996</v>
      </c>
      <c r="R91" s="111">
        <f t="shared" si="57"/>
        <v>209703.45999999996</v>
      </c>
      <c r="S91" s="111">
        <f t="shared" si="58"/>
        <v>3280</v>
      </c>
      <c r="T91" s="111">
        <f t="shared" si="59"/>
        <v>0</v>
      </c>
    </row>
    <row r="92" spans="1:20" s="99" customFormat="1" ht="38.25" customHeight="1">
      <c r="A92" s="19" t="s">
        <v>148</v>
      </c>
      <c r="B92" s="19" t="s">
        <v>147</v>
      </c>
      <c r="C92" s="19" t="s">
        <v>54</v>
      </c>
      <c r="D92" s="12" t="s">
        <v>149</v>
      </c>
      <c r="E92" s="107">
        <f t="shared" si="60"/>
        <v>638074.78</v>
      </c>
      <c r="F92" s="109">
        <v>638074.78</v>
      </c>
      <c r="G92" s="109"/>
      <c r="H92" s="109"/>
      <c r="I92" s="107">
        <f t="shared" si="61"/>
        <v>781444.21</v>
      </c>
      <c r="J92" s="107">
        <v>769444.21</v>
      </c>
      <c r="K92" s="107">
        <v>12000</v>
      </c>
      <c r="L92" s="107">
        <v>12000</v>
      </c>
      <c r="M92" s="122">
        <f t="shared" si="54"/>
        <v>1.224690638924798</v>
      </c>
      <c r="N92" s="122">
        <f t="shared" si="55"/>
        <v>1.2058840658143548</v>
      </c>
      <c r="O92" s="122"/>
      <c r="P92" s="122"/>
      <c r="Q92" s="111">
        <f t="shared" si="56"/>
        <v>143369.42999999993</v>
      </c>
      <c r="R92" s="111">
        <f t="shared" si="57"/>
        <v>131369.42999999993</v>
      </c>
      <c r="S92" s="111">
        <f t="shared" si="58"/>
        <v>12000</v>
      </c>
      <c r="T92" s="111">
        <f t="shared" si="59"/>
        <v>12000</v>
      </c>
    </row>
    <row r="93" spans="1:20" s="16" customFormat="1" ht="95.25">
      <c r="A93" s="19" t="s">
        <v>309</v>
      </c>
      <c r="B93" s="19" t="s">
        <v>310</v>
      </c>
      <c r="C93" s="19" t="s">
        <v>42</v>
      </c>
      <c r="D93" s="12" t="s">
        <v>311</v>
      </c>
      <c r="E93" s="107">
        <f t="shared" si="60"/>
        <v>120455.77</v>
      </c>
      <c r="F93" s="109">
        <v>120455.77</v>
      </c>
      <c r="G93" s="109"/>
      <c r="H93" s="109"/>
      <c r="I93" s="107">
        <f t="shared" si="61"/>
        <v>139423.29</v>
      </c>
      <c r="J93" s="107">
        <v>139423.29</v>
      </c>
      <c r="K93" s="107"/>
      <c r="L93" s="107"/>
      <c r="M93" s="122">
        <f t="shared" si="54"/>
        <v>1.1574646029824889</v>
      </c>
      <c r="N93" s="122">
        <f t="shared" si="55"/>
        <v>1.1574646029824889</v>
      </c>
      <c r="O93" s="122"/>
      <c r="P93" s="122"/>
      <c r="Q93" s="111">
        <f t="shared" si="56"/>
        <v>18967.520000000004</v>
      </c>
      <c r="R93" s="111">
        <f t="shared" si="57"/>
        <v>18967.520000000004</v>
      </c>
      <c r="S93" s="111">
        <f t="shared" si="58"/>
        <v>0</v>
      </c>
      <c r="T93" s="111">
        <f t="shared" si="59"/>
        <v>0</v>
      </c>
    </row>
    <row r="94" spans="1:20" s="16" customFormat="1" ht="79.5">
      <c r="A94" s="19" t="s">
        <v>312</v>
      </c>
      <c r="B94" s="19" t="s">
        <v>313</v>
      </c>
      <c r="C94" s="19" t="s">
        <v>68</v>
      </c>
      <c r="D94" s="12" t="s">
        <v>314</v>
      </c>
      <c r="E94" s="107">
        <f t="shared" si="60"/>
        <v>212499</v>
      </c>
      <c r="F94" s="109">
        <v>212499</v>
      </c>
      <c r="G94" s="109"/>
      <c r="H94" s="109"/>
      <c r="I94" s="107"/>
      <c r="J94" s="107"/>
      <c r="K94" s="107"/>
      <c r="L94" s="107"/>
      <c r="M94" s="122"/>
      <c r="N94" s="122"/>
      <c r="O94" s="122"/>
      <c r="P94" s="122"/>
      <c r="Q94" s="111"/>
      <c r="R94" s="111"/>
      <c r="S94" s="111"/>
      <c r="T94" s="111"/>
    </row>
    <row r="95" spans="1:20" s="16" customFormat="1" ht="63.75">
      <c r="A95" s="19" t="s">
        <v>433</v>
      </c>
      <c r="B95" s="19" t="s">
        <v>434</v>
      </c>
      <c r="C95" s="50" t="s">
        <v>42</v>
      </c>
      <c r="D95" s="12" t="s">
        <v>435</v>
      </c>
      <c r="E95" s="107">
        <f t="shared" si="60"/>
        <v>0</v>
      </c>
      <c r="F95" s="109"/>
      <c r="G95" s="109"/>
      <c r="H95" s="109"/>
      <c r="I95" s="107">
        <f t="shared" si="61"/>
        <v>7260</v>
      </c>
      <c r="J95" s="107">
        <v>7260</v>
      </c>
      <c r="K95" s="107"/>
      <c r="L95" s="107"/>
      <c r="M95" s="122"/>
      <c r="N95" s="122"/>
      <c r="O95" s="122"/>
      <c r="P95" s="122"/>
      <c r="Q95" s="111">
        <f t="shared" si="56"/>
        <v>7260</v>
      </c>
      <c r="R95" s="111">
        <f t="shared" si="57"/>
        <v>7260</v>
      </c>
      <c r="S95" s="111">
        <f t="shared" si="58"/>
        <v>0</v>
      </c>
      <c r="T95" s="111">
        <f t="shared" si="59"/>
        <v>0</v>
      </c>
    </row>
    <row r="96" spans="1:20" s="16" customFormat="1" ht="79.5">
      <c r="A96" s="19" t="s">
        <v>312</v>
      </c>
      <c r="B96" s="19" t="s">
        <v>313</v>
      </c>
      <c r="C96" s="19" t="s">
        <v>68</v>
      </c>
      <c r="D96" s="12" t="s">
        <v>314</v>
      </c>
      <c r="E96" s="107">
        <f t="shared" si="60"/>
        <v>0</v>
      </c>
      <c r="F96" s="107"/>
      <c r="G96" s="107"/>
      <c r="H96" s="107"/>
      <c r="I96" s="107">
        <f t="shared" si="61"/>
        <v>335649.53</v>
      </c>
      <c r="J96" s="107">
        <v>335649.53</v>
      </c>
      <c r="K96" s="107"/>
      <c r="L96" s="107"/>
      <c r="M96" s="122"/>
      <c r="N96" s="122"/>
      <c r="O96" s="122"/>
      <c r="P96" s="122"/>
      <c r="Q96" s="111">
        <f t="shared" si="56"/>
        <v>335649.53</v>
      </c>
      <c r="R96" s="111">
        <f t="shared" si="57"/>
        <v>335649.53</v>
      </c>
      <c r="S96" s="111">
        <f t="shared" si="58"/>
        <v>0</v>
      </c>
      <c r="T96" s="111">
        <f t="shared" si="59"/>
        <v>0</v>
      </c>
    </row>
    <row r="97" spans="1:20" s="16" customFormat="1" ht="48">
      <c r="A97" s="19" t="s">
        <v>315</v>
      </c>
      <c r="B97" s="19" t="s">
        <v>316</v>
      </c>
      <c r="C97" s="19" t="s">
        <v>47</v>
      </c>
      <c r="D97" s="12" t="s">
        <v>317</v>
      </c>
      <c r="E97" s="107">
        <f t="shared" si="60"/>
        <v>4833.42</v>
      </c>
      <c r="F97" s="107">
        <v>4833.42</v>
      </c>
      <c r="G97" s="107"/>
      <c r="H97" s="107"/>
      <c r="I97" s="107">
        <f t="shared" si="61"/>
        <v>6357.56</v>
      </c>
      <c r="J97" s="107">
        <v>6357.56</v>
      </c>
      <c r="K97" s="107"/>
      <c r="L97" s="107"/>
      <c r="M97" s="122">
        <f t="shared" si="54"/>
        <v>1.3153336560861668</v>
      </c>
      <c r="N97" s="122">
        <f t="shared" si="55"/>
        <v>1.3153336560861668</v>
      </c>
      <c r="O97" s="122"/>
      <c r="P97" s="122"/>
      <c r="Q97" s="111">
        <f t="shared" si="56"/>
        <v>1524.1400000000003</v>
      </c>
      <c r="R97" s="111">
        <f t="shared" si="57"/>
        <v>1524.1400000000003</v>
      </c>
      <c r="S97" s="111">
        <f t="shared" si="58"/>
        <v>0</v>
      </c>
      <c r="T97" s="111">
        <f t="shared" si="59"/>
        <v>0</v>
      </c>
    </row>
    <row r="98" spans="1:20" s="16" customFormat="1" ht="32.25">
      <c r="A98" s="19" t="s">
        <v>322</v>
      </c>
      <c r="B98" s="19" t="s">
        <v>318</v>
      </c>
      <c r="C98" s="19" t="s">
        <v>33</v>
      </c>
      <c r="D98" s="12" t="s">
        <v>319</v>
      </c>
      <c r="E98" s="107">
        <f t="shared" si="60"/>
        <v>3225699.98</v>
      </c>
      <c r="F98" s="107">
        <v>3225699.98</v>
      </c>
      <c r="G98" s="107"/>
      <c r="H98" s="107"/>
      <c r="I98" s="107">
        <f t="shared" si="61"/>
        <v>4344548.62</v>
      </c>
      <c r="J98" s="107">
        <f>4238339.8+106208.82</f>
        <v>4344548.62</v>
      </c>
      <c r="K98" s="107"/>
      <c r="L98" s="107"/>
      <c r="M98" s="122">
        <f t="shared" si="54"/>
        <v>1.3468545267498808</v>
      </c>
      <c r="N98" s="122">
        <f t="shared" si="55"/>
        <v>1.3468545267498808</v>
      </c>
      <c r="O98" s="122"/>
      <c r="P98" s="122"/>
      <c r="Q98" s="111">
        <f t="shared" si="56"/>
        <v>1118848.6400000001</v>
      </c>
      <c r="R98" s="111">
        <f t="shared" si="57"/>
        <v>1118848.6400000001</v>
      </c>
      <c r="S98" s="111">
        <f t="shared" si="58"/>
        <v>0</v>
      </c>
      <c r="T98" s="111">
        <f t="shared" si="59"/>
        <v>0</v>
      </c>
    </row>
    <row r="99" spans="1:20" s="95" customFormat="1" ht="32.25">
      <c r="A99" s="25" t="s">
        <v>158</v>
      </c>
      <c r="B99" s="25"/>
      <c r="C99" s="25"/>
      <c r="D99" s="26" t="s">
        <v>15</v>
      </c>
      <c r="E99" s="106">
        <f>E100</f>
        <v>6962965.5099999998</v>
      </c>
      <c r="F99" s="106">
        <f t="shared" ref="F99:L99" si="62">F100</f>
        <v>6038614.4900000002</v>
      </c>
      <c r="G99" s="106">
        <f t="shared" si="62"/>
        <v>924351.02</v>
      </c>
      <c r="H99" s="106">
        <f t="shared" si="62"/>
        <v>788948.98</v>
      </c>
      <c r="I99" s="106">
        <f t="shared" si="62"/>
        <v>7004619.6799999997</v>
      </c>
      <c r="J99" s="106">
        <f t="shared" si="62"/>
        <v>6620844.4100000001</v>
      </c>
      <c r="K99" s="106">
        <f t="shared" si="62"/>
        <v>383775.27</v>
      </c>
      <c r="L99" s="106">
        <f t="shared" si="62"/>
        <v>230735.82</v>
      </c>
      <c r="M99" s="121">
        <f>I99/E99</f>
        <v>1.0059822456308563</v>
      </c>
      <c r="N99" s="121">
        <f t="shared" ref="N99:P99" si="63">J99/F99</f>
        <v>1.0964177993087947</v>
      </c>
      <c r="O99" s="121">
        <f t="shared" si="63"/>
        <v>0.41518347651090387</v>
      </c>
      <c r="P99" s="121">
        <f t="shared" si="63"/>
        <v>0.29245974815760584</v>
      </c>
      <c r="Q99" s="126">
        <f t="shared" si="56"/>
        <v>41654.169999999925</v>
      </c>
      <c r="R99" s="126">
        <f t="shared" si="57"/>
        <v>582229.91999999993</v>
      </c>
      <c r="S99" s="126">
        <f t="shared" si="58"/>
        <v>-540575.75</v>
      </c>
      <c r="T99" s="126">
        <f t="shared" si="59"/>
        <v>-558213.15999999992</v>
      </c>
    </row>
    <row r="100" spans="1:20" s="118" customFormat="1" ht="32.25">
      <c r="A100" s="25" t="s">
        <v>159</v>
      </c>
      <c r="B100" s="25"/>
      <c r="C100" s="25"/>
      <c r="D100" s="26" t="s">
        <v>15</v>
      </c>
      <c r="E100" s="106">
        <f t="shared" si="60"/>
        <v>6962965.5099999998</v>
      </c>
      <c r="F100" s="106">
        <f>F101+F102+F103+F104+F105+F106+F107+F108</f>
        <v>6038614.4900000002</v>
      </c>
      <c r="G100" s="106">
        <f t="shared" ref="G100:J100" si="64">G101+G102+G103+G104+G105+G106+G107+G108</f>
        <v>924351.02</v>
      </c>
      <c r="H100" s="106">
        <f t="shared" si="64"/>
        <v>788948.98</v>
      </c>
      <c r="I100" s="106">
        <f t="shared" si="61"/>
        <v>7004619.6799999997</v>
      </c>
      <c r="J100" s="106">
        <f t="shared" si="64"/>
        <v>6620844.4100000001</v>
      </c>
      <c r="K100" s="106">
        <f t="shared" ref="K100" si="65">K101+K102+K103+K104+K105+K106+K107+K108</f>
        <v>383775.27</v>
      </c>
      <c r="L100" s="106">
        <f t="shared" ref="L100" si="66">L101+L102+L103+L104+L105+L106+L107+L108</f>
        <v>230735.82</v>
      </c>
      <c r="M100" s="121">
        <f>I100/E100</f>
        <v>1.0059822456308563</v>
      </c>
      <c r="N100" s="121">
        <f t="shared" ref="N100" si="67">J100/F100</f>
        <v>1.0964177993087947</v>
      </c>
      <c r="O100" s="121">
        <f t="shared" ref="O100" si="68">K100/G100</f>
        <v>0.41518347651090387</v>
      </c>
      <c r="P100" s="121">
        <f t="shared" ref="P100" si="69">L100/H100</f>
        <v>0.29245974815760584</v>
      </c>
      <c r="Q100" s="126">
        <f t="shared" si="56"/>
        <v>41654.169999999925</v>
      </c>
      <c r="R100" s="126">
        <f t="shared" si="57"/>
        <v>582229.91999999993</v>
      </c>
      <c r="S100" s="126">
        <f t="shared" si="58"/>
        <v>-540575.75</v>
      </c>
      <c r="T100" s="126">
        <f t="shared" si="59"/>
        <v>-558213.15999999992</v>
      </c>
    </row>
    <row r="101" spans="1:20" s="16" customFormat="1" ht="48">
      <c r="A101" s="19" t="s">
        <v>160</v>
      </c>
      <c r="B101" s="19" t="s">
        <v>124</v>
      </c>
      <c r="C101" s="19" t="s">
        <v>32</v>
      </c>
      <c r="D101" s="18" t="s">
        <v>126</v>
      </c>
      <c r="E101" s="107">
        <f t="shared" si="60"/>
        <v>99799.76</v>
      </c>
      <c r="F101" s="107">
        <v>99799.76</v>
      </c>
      <c r="G101" s="107"/>
      <c r="H101" s="107"/>
      <c r="I101" s="107">
        <f t="shared" si="61"/>
        <v>167035.85</v>
      </c>
      <c r="J101" s="107">
        <v>167035.85</v>
      </c>
      <c r="K101" s="107"/>
      <c r="L101" s="107"/>
      <c r="M101" s="122">
        <f>I101/E101</f>
        <v>1.6737099367774033</v>
      </c>
      <c r="N101" s="122">
        <f>J101/F101</f>
        <v>1.6737099367774033</v>
      </c>
      <c r="O101" s="122"/>
      <c r="P101" s="122"/>
      <c r="Q101" s="111">
        <f t="shared" si="56"/>
        <v>67236.090000000011</v>
      </c>
      <c r="R101" s="111">
        <f t="shared" si="57"/>
        <v>67236.090000000011</v>
      </c>
      <c r="S101" s="111">
        <f t="shared" si="58"/>
        <v>0</v>
      </c>
      <c r="T101" s="111">
        <f t="shared" si="59"/>
        <v>0</v>
      </c>
    </row>
    <row r="102" spans="1:20" s="16" customFormat="1" ht="63.75">
      <c r="A102" s="19" t="s">
        <v>170</v>
      </c>
      <c r="B102" s="19" t="s">
        <v>169</v>
      </c>
      <c r="C102" s="19" t="s">
        <v>50</v>
      </c>
      <c r="D102" s="18" t="s">
        <v>171</v>
      </c>
      <c r="E102" s="107">
        <f t="shared" si="60"/>
        <v>2813051.0300000003</v>
      </c>
      <c r="F102" s="107">
        <v>2624353.9700000002</v>
      </c>
      <c r="G102" s="107">
        <f>120000+68697.06</f>
        <v>188697.06</v>
      </c>
      <c r="H102" s="107">
        <v>120000</v>
      </c>
      <c r="I102" s="107">
        <f t="shared" si="61"/>
        <v>3152840.71</v>
      </c>
      <c r="J102" s="107">
        <v>3035364.35</v>
      </c>
      <c r="K102" s="109">
        <f>117476.36</f>
        <v>117476.36</v>
      </c>
      <c r="L102" s="109"/>
      <c r="M102" s="122">
        <f t="shared" ref="M102:M107" si="70">I102/E102</f>
        <v>1.1207904429661197</v>
      </c>
      <c r="N102" s="122">
        <f t="shared" ref="N102:O107" si="71">J102/F102</f>
        <v>1.1566139265885691</v>
      </c>
      <c r="O102" s="122">
        <f t="shared" si="71"/>
        <v>0.62256592657034504</v>
      </c>
      <c r="P102" s="122"/>
      <c r="Q102" s="111">
        <f t="shared" si="56"/>
        <v>339789.6799999997</v>
      </c>
      <c r="R102" s="111">
        <f t="shared" si="57"/>
        <v>411010.37999999989</v>
      </c>
      <c r="S102" s="111">
        <f t="shared" si="58"/>
        <v>-71220.7</v>
      </c>
      <c r="T102" s="111">
        <f t="shared" si="59"/>
        <v>-120000</v>
      </c>
    </row>
    <row r="103" spans="1:20" s="16" customFormat="1" ht="18.75">
      <c r="A103" s="19" t="s">
        <v>162</v>
      </c>
      <c r="B103" s="19" t="s">
        <v>161</v>
      </c>
      <c r="C103" s="19" t="s">
        <v>95</v>
      </c>
      <c r="D103" s="12" t="s">
        <v>163</v>
      </c>
      <c r="E103" s="107">
        <f t="shared" si="60"/>
        <v>1386934.81</v>
      </c>
      <c r="F103" s="109">
        <v>1243383.06</v>
      </c>
      <c r="G103" s="109">
        <f>135049+8502.75</f>
        <v>143551.75</v>
      </c>
      <c r="H103" s="109">
        <v>135049</v>
      </c>
      <c r="I103" s="107">
        <f t="shared" si="61"/>
        <v>1270271.95</v>
      </c>
      <c r="J103" s="107">
        <v>1108384.47</v>
      </c>
      <c r="K103" s="109">
        <f>147935.82+13951.66</f>
        <v>161887.48000000001</v>
      </c>
      <c r="L103" s="109">
        <v>147935.82</v>
      </c>
      <c r="M103" s="122">
        <f t="shared" si="70"/>
        <v>0.91588439546051914</v>
      </c>
      <c r="N103" s="122">
        <f t="shared" si="71"/>
        <v>0.89142638793872575</v>
      </c>
      <c r="O103" s="122">
        <f t="shared" ref="O103:O105" si="72">K103/G103</f>
        <v>1.1277290593810247</v>
      </c>
      <c r="P103" s="122">
        <f t="shared" ref="P103:P105" si="73">L103/H103</f>
        <v>1.0954232908055594</v>
      </c>
      <c r="Q103" s="111">
        <f t="shared" si="56"/>
        <v>-116662.8600000001</v>
      </c>
      <c r="R103" s="111">
        <f t="shared" si="57"/>
        <v>-134998.59000000008</v>
      </c>
      <c r="S103" s="111">
        <f t="shared" si="58"/>
        <v>18335.73000000001</v>
      </c>
      <c r="T103" s="111">
        <f t="shared" si="59"/>
        <v>12886.820000000007</v>
      </c>
    </row>
    <row r="104" spans="1:20" s="16" customFormat="1" ht="18.75">
      <c r="A104" s="19" t="s">
        <v>165</v>
      </c>
      <c r="B104" s="19" t="s">
        <v>164</v>
      </c>
      <c r="C104" s="19" t="s">
        <v>95</v>
      </c>
      <c r="D104" s="12" t="s">
        <v>166</v>
      </c>
      <c r="E104" s="107">
        <f t="shared" si="60"/>
        <v>395188.62</v>
      </c>
      <c r="F104" s="109">
        <v>351908.64</v>
      </c>
      <c r="G104" s="109">
        <f>39900+3379.98</f>
        <v>43279.98</v>
      </c>
      <c r="H104" s="109">
        <v>39900</v>
      </c>
      <c r="I104" s="107">
        <f t="shared" si="61"/>
        <v>439640.92000000004</v>
      </c>
      <c r="J104" s="107">
        <v>360556.15</v>
      </c>
      <c r="K104" s="109">
        <f>72800+6284.77</f>
        <v>79084.77</v>
      </c>
      <c r="L104" s="109">
        <v>72800</v>
      </c>
      <c r="M104" s="122">
        <f t="shared" si="70"/>
        <v>1.1124837552255429</v>
      </c>
      <c r="N104" s="122">
        <f t="shared" si="71"/>
        <v>1.0245731676266885</v>
      </c>
      <c r="O104" s="122">
        <f t="shared" si="72"/>
        <v>1.8272829608516454</v>
      </c>
      <c r="P104" s="122">
        <f t="shared" si="73"/>
        <v>1.8245614035087718</v>
      </c>
      <c r="Q104" s="111">
        <f t="shared" si="56"/>
        <v>44452.300000000047</v>
      </c>
      <c r="R104" s="111">
        <f t="shared" si="57"/>
        <v>8647.5100000000093</v>
      </c>
      <c r="S104" s="111">
        <f t="shared" si="58"/>
        <v>35804.79</v>
      </c>
      <c r="T104" s="111">
        <f t="shared" si="59"/>
        <v>32900</v>
      </c>
    </row>
    <row r="105" spans="1:20" s="16" customFormat="1" ht="48">
      <c r="A105" s="19" t="s">
        <v>167</v>
      </c>
      <c r="B105" s="19" t="s">
        <v>94</v>
      </c>
      <c r="C105" s="19" t="s">
        <v>96</v>
      </c>
      <c r="D105" s="12" t="s">
        <v>168</v>
      </c>
      <c r="E105" s="107">
        <f t="shared" si="60"/>
        <v>1864892.46</v>
      </c>
      <c r="F105" s="109">
        <v>1346070.23</v>
      </c>
      <c r="G105" s="109">
        <f>463999.98+54822.25</f>
        <v>518822.23</v>
      </c>
      <c r="H105" s="109">
        <v>463999.98</v>
      </c>
      <c r="I105" s="107">
        <f t="shared" si="61"/>
        <v>1543325.02</v>
      </c>
      <c r="J105" s="107">
        <v>1517998.36</v>
      </c>
      <c r="K105" s="109">
        <f>10000+15326.66</f>
        <v>25326.66</v>
      </c>
      <c r="L105" s="109">
        <v>10000</v>
      </c>
      <c r="M105" s="122">
        <f t="shared" si="70"/>
        <v>0.82756783734328576</v>
      </c>
      <c r="N105" s="122">
        <f t="shared" si="71"/>
        <v>1.1277259731091447</v>
      </c>
      <c r="O105" s="122">
        <f t="shared" si="72"/>
        <v>4.8815680083715764E-2</v>
      </c>
      <c r="P105" s="122">
        <f t="shared" si="73"/>
        <v>2.1551725066884703E-2</v>
      </c>
      <c r="Q105" s="111">
        <f t="shared" si="56"/>
        <v>-321567.43999999994</v>
      </c>
      <c r="R105" s="111">
        <f t="shared" si="57"/>
        <v>171928.13000000012</v>
      </c>
      <c r="S105" s="111">
        <f t="shared" si="58"/>
        <v>-493495.57</v>
      </c>
      <c r="T105" s="111">
        <f t="shared" si="59"/>
        <v>-453999.98</v>
      </c>
    </row>
    <row r="106" spans="1:20" s="16" customFormat="1" ht="32.25">
      <c r="A106" s="19" t="s">
        <v>323</v>
      </c>
      <c r="B106" s="19" t="s">
        <v>288</v>
      </c>
      <c r="C106" s="19" t="s">
        <v>97</v>
      </c>
      <c r="D106" s="12" t="s">
        <v>289</v>
      </c>
      <c r="E106" s="107">
        <f t="shared" si="60"/>
        <v>242834.25</v>
      </c>
      <c r="F106" s="109">
        <v>212834.25</v>
      </c>
      <c r="G106" s="109">
        <v>30000</v>
      </c>
      <c r="H106" s="109">
        <v>30000</v>
      </c>
      <c r="I106" s="107">
        <f t="shared" si="61"/>
        <v>273598.63</v>
      </c>
      <c r="J106" s="107">
        <v>273598.63</v>
      </c>
      <c r="K106" s="109"/>
      <c r="L106" s="109"/>
      <c r="M106" s="122">
        <f t="shared" si="70"/>
        <v>1.1266888011061043</v>
      </c>
      <c r="N106" s="122">
        <f t="shared" si="71"/>
        <v>1.2855009473334296</v>
      </c>
      <c r="O106" s="122"/>
      <c r="P106" s="122"/>
      <c r="Q106" s="111">
        <f t="shared" si="56"/>
        <v>30764.380000000005</v>
      </c>
      <c r="R106" s="111">
        <f t="shared" si="57"/>
        <v>60764.380000000005</v>
      </c>
      <c r="S106" s="111">
        <f t="shared" si="58"/>
        <v>-30000</v>
      </c>
      <c r="T106" s="111">
        <f t="shared" si="59"/>
        <v>-30000</v>
      </c>
    </row>
    <row r="107" spans="1:20" s="16" customFormat="1" ht="18.75">
      <c r="A107" s="19" t="s">
        <v>286</v>
      </c>
      <c r="B107" s="19" t="s">
        <v>287</v>
      </c>
      <c r="C107" s="19" t="s">
        <v>97</v>
      </c>
      <c r="D107" s="12" t="s">
        <v>290</v>
      </c>
      <c r="E107" s="107">
        <f t="shared" si="60"/>
        <v>160264.57999999999</v>
      </c>
      <c r="F107" s="109">
        <v>160264.57999999999</v>
      </c>
      <c r="G107" s="109"/>
      <c r="H107" s="109"/>
      <c r="I107" s="107">
        <f t="shared" si="61"/>
        <v>157906.6</v>
      </c>
      <c r="J107" s="107">
        <v>157906.6</v>
      </c>
      <c r="K107" s="109"/>
      <c r="L107" s="109"/>
      <c r="M107" s="122">
        <f t="shared" si="70"/>
        <v>0.98528695485927098</v>
      </c>
      <c r="N107" s="122">
        <f t="shared" si="71"/>
        <v>0.98528695485927098</v>
      </c>
      <c r="O107" s="122"/>
      <c r="P107" s="122"/>
      <c r="Q107" s="111">
        <f t="shared" si="56"/>
        <v>-2357.9799999999814</v>
      </c>
      <c r="R107" s="111">
        <f t="shared" si="57"/>
        <v>-2357.9799999999814</v>
      </c>
      <c r="S107" s="111">
        <f t="shared" si="58"/>
        <v>0</v>
      </c>
      <c r="T107" s="111">
        <f t="shared" si="59"/>
        <v>0</v>
      </c>
    </row>
    <row r="108" spans="1:20" s="16" customFormat="1" ht="32.25">
      <c r="A108" s="19" t="s">
        <v>413</v>
      </c>
      <c r="B108" s="19" t="s">
        <v>291</v>
      </c>
      <c r="C108" s="19" t="s">
        <v>58</v>
      </c>
      <c r="D108" s="18" t="s">
        <v>258</v>
      </c>
      <c r="E108" s="107">
        <f t="shared" si="60"/>
        <v>0</v>
      </c>
      <c r="F108" s="109"/>
      <c r="G108" s="109"/>
      <c r="H108" s="109"/>
      <c r="I108" s="107">
        <f t="shared" si="61"/>
        <v>0</v>
      </c>
      <c r="J108" s="107">
        <v>0</v>
      </c>
      <c r="K108" s="109">
        <v>0</v>
      </c>
      <c r="L108" s="109">
        <v>0</v>
      </c>
      <c r="M108" s="122"/>
      <c r="N108" s="122"/>
      <c r="O108" s="122"/>
      <c r="P108" s="122"/>
      <c r="Q108" s="111">
        <f t="shared" si="56"/>
        <v>0</v>
      </c>
      <c r="R108" s="111">
        <f t="shared" si="57"/>
        <v>0</v>
      </c>
      <c r="S108" s="111">
        <f t="shared" si="58"/>
        <v>0</v>
      </c>
      <c r="T108" s="111">
        <f t="shared" si="59"/>
        <v>0</v>
      </c>
    </row>
    <row r="109" spans="1:20" s="102" customFormat="1" ht="18.75">
      <c r="A109" s="35"/>
      <c r="B109" s="35"/>
      <c r="C109" s="35"/>
      <c r="D109" s="83" t="s">
        <v>437</v>
      </c>
      <c r="E109" s="108">
        <f t="shared" si="60"/>
        <v>0</v>
      </c>
      <c r="F109" s="110"/>
      <c r="G109" s="110"/>
      <c r="H109" s="110"/>
      <c r="I109" s="108">
        <f t="shared" si="61"/>
        <v>0</v>
      </c>
      <c r="J109" s="108"/>
      <c r="K109" s="110"/>
      <c r="L109" s="110"/>
      <c r="M109" s="123"/>
      <c r="N109" s="123"/>
      <c r="O109" s="123"/>
      <c r="P109" s="123"/>
      <c r="Q109" s="111">
        <f t="shared" si="56"/>
        <v>0</v>
      </c>
      <c r="R109" s="111">
        <f t="shared" si="57"/>
        <v>0</v>
      </c>
      <c r="S109" s="111">
        <f t="shared" si="58"/>
        <v>0</v>
      </c>
      <c r="T109" s="111">
        <f t="shared" si="59"/>
        <v>0</v>
      </c>
    </row>
    <row r="110" spans="1:20" s="118" customFormat="1" ht="33.75" customHeight="1">
      <c r="A110" s="25" t="s">
        <v>59</v>
      </c>
      <c r="B110" s="25"/>
      <c r="C110" s="25"/>
      <c r="D110" s="26" t="s">
        <v>18</v>
      </c>
      <c r="E110" s="106">
        <f>E111</f>
        <v>612849.80000000005</v>
      </c>
      <c r="F110" s="106">
        <f t="shared" ref="F110:L110" si="74">F111</f>
        <v>604043.80000000005</v>
      </c>
      <c r="G110" s="106">
        <f t="shared" si="74"/>
        <v>8806</v>
      </c>
      <c r="H110" s="106">
        <f t="shared" si="74"/>
        <v>8806</v>
      </c>
      <c r="I110" s="106">
        <f t="shared" si="74"/>
        <v>608015.62</v>
      </c>
      <c r="J110" s="106">
        <f t="shared" si="74"/>
        <v>608015.62</v>
      </c>
      <c r="K110" s="106">
        <f t="shared" si="74"/>
        <v>0</v>
      </c>
      <c r="L110" s="106">
        <f t="shared" si="74"/>
        <v>0</v>
      </c>
      <c r="M110" s="121">
        <f>I110/E110</f>
        <v>0.9921119660967499</v>
      </c>
      <c r="N110" s="121">
        <f t="shared" ref="N110:P110" si="75">J110/F110</f>
        <v>1.0065753841029408</v>
      </c>
      <c r="O110" s="121">
        <f t="shared" si="75"/>
        <v>0</v>
      </c>
      <c r="P110" s="121">
        <f t="shared" si="75"/>
        <v>0</v>
      </c>
      <c r="Q110" s="126">
        <f t="shared" si="56"/>
        <v>-4834.1800000000512</v>
      </c>
      <c r="R110" s="126">
        <f t="shared" si="57"/>
        <v>3971.8199999999488</v>
      </c>
      <c r="S110" s="126">
        <f t="shared" si="58"/>
        <v>-8806</v>
      </c>
      <c r="T110" s="126">
        <f t="shared" si="59"/>
        <v>-8806</v>
      </c>
    </row>
    <row r="111" spans="1:20" s="118" customFormat="1" ht="36" customHeight="1">
      <c r="A111" s="25" t="s">
        <v>60</v>
      </c>
      <c r="B111" s="25"/>
      <c r="C111" s="25"/>
      <c r="D111" s="26" t="s">
        <v>18</v>
      </c>
      <c r="E111" s="106">
        <f t="shared" si="60"/>
        <v>612849.80000000005</v>
      </c>
      <c r="F111" s="106">
        <f>F112+F113+F114+F115+F116+F117+F118+F119</f>
        <v>604043.80000000005</v>
      </c>
      <c r="G111" s="106">
        <f t="shared" ref="G111:J111" si="76">G112+G113+G114+G115+G116+G117+G118+G119</f>
        <v>8806</v>
      </c>
      <c r="H111" s="106">
        <f t="shared" si="76"/>
        <v>8806</v>
      </c>
      <c r="I111" s="106">
        <f t="shared" si="61"/>
        <v>608015.62</v>
      </c>
      <c r="J111" s="106">
        <f t="shared" si="76"/>
        <v>608015.62</v>
      </c>
      <c r="K111" s="106">
        <f t="shared" ref="K111" si="77">K112+K113+K114+K115+K116+K117+K118+K119</f>
        <v>0</v>
      </c>
      <c r="L111" s="106">
        <f t="shared" ref="L111" si="78">L112+L113+L114+L115+L116+L117+L118+L119</f>
        <v>0</v>
      </c>
      <c r="M111" s="121">
        <f>I111/E111</f>
        <v>0.9921119660967499</v>
      </c>
      <c r="N111" s="121">
        <f t="shared" ref="N111:N112" si="79">J111/F111</f>
        <v>1.0065753841029408</v>
      </c>
      <c r="O111" s="121">
        <f t="shared" ref="O111:O112" si="80">K111/G111</f>
        <v>0</v>
      </c>
      <c r="P111" s="121">
        <f t="shared" ref="P111:P112" si="81">L111/H111</f>
        <v>0</v>
      </c>
      <c r="Q111" s="126">
        <f t="shared" si="56"/>
        <v>-4834.1800000000512</v>
      </c>
      <c r="R111" s="126">
        <f t="shared" si="57"/>
        <v>3971.8199999999488</v>
      </c>
      <c r="S111" s="126">
        <f t="shared" si="58"/>
        <v>-8806</v>
      </c>
      <c r="T111" s="126">
        <f t="shared" si="59"/>
        <v>-8806</v>
      </c>
    </row>
    <row r="112" spans="1:20" s="16" customFormat="1" ht="48">
      <c r="A112" s="19" t="s">
        <v>172</v>
      </c>
      <c r="B112" s="19" t="s">
        <v>124</v>
      </c>
      <c r="C112" s="19" t="s">
        <v>32</v>
      </c>
      <c r="D112" s="18" t="s">
        <v>126</v>
      </c>
      <c r="E112" s="107">
        <f t="shared" si="60"/>
        <v>249229.21</v>
      </c>
      <c r="F112" s="107">
        <v>240423.21</v>
      </c>
      <c r="G112" s="107">
        <v>8806</v>
      </c>
      <c r="H112" s="107">
        <v>8806</v>
      </c>
      <c r="I112" s="107">
        <f t="shared" si="61"/>
        <v>282628.63</v>
      </c>
      <c r="J112" s="109">
        <v>282628.63</v>
      </c>
      <c r="K112" s="107"/>
      <c r="L112" s="107"/>
      <c r="M112" s="122">
        <f>I112/E112</f>
        <v>1.1340108569136018</v>
      </c>
      <c r="N112" s="122">
        <f t="shared" si="79"/>
        <v>1.1755463625995177</v>
      </c>
      <c r="O112" s="122">
        <f t="shared" si="80"/>
        <v>0</v>
      </c>
      <c r="P112" s="122">
        <f t="shared" si="81"/>
        <v>0</v>
      </c>
      <c r="Q112" s="111">
        <f t="shared" si="56"/>
        <v>33399.420000000013</v>
      </c>
      <c r="R112" s="111">
        <f t="shared" si="57"/>
        <v>42205.420000000013</v>
      </c>
      <c r="S112" s="111">
        <f t="shared" si="58"/>
        <v>-8806</v>
      </c>
      <c r="T112" s="111">
        <f t="shared" si="59"/>
        <v>-8806</v>
      </c>
    </row>
    <row r="113" spans="1:20" s="16" customFormat="1" ht="18.75">
      <c r="A113" s="19" t="s">
        <v>174</v>
      </c>
      <c r="B113" s="19" t="s">
        <v>173</v>
      </c>
      <c r="C113" s="19" t="s">
        <v>54</v>
      </c>
      <c r="D113" s="12" t="s">
        <v>63</v>
      </c>
      <c r="E113" s="107">
        <f t="shared" si="60"/>
        <v>40535</v>
      </c>
      <c r="F113" s="107">
        <v>40535</v>
      </c>
      <c r="G113" s="107"/>
      <c r="H113" s="107"/>
      <c r="I113" s="107">
        <f t="shared" si="61"/>
        <v>35819</v>
      </c>
      <c r="J113" s="109">
        <v>35819</v>
      </c>
      <c r="K113" s="107"/>
      <c r="L113" s="107"/>
      <c r="M113" s="122">
        <f t="shared" ref="M113:M119" si="82">I113/E113</f>
        <v>0.88365609966695446</v>
      </c>
      <c r="N113" s="122">
        <f t="shared" ref="N113:N120" si="83">J113/F113</f>
        <v>0.88365609966695446</v>
      </c>
      <c r="O113" s="122"/>
      <c r="P113" s="122"/>
      <c r="Q113" s="111">
        <f t="shared" si="56"/>
        <v>-4716</v>
      </c>
      <c r="R113" s="111">
        <f t="shared" si="57"/>
        <v>-4716</v>
      </c>
      <c r="S113" s="111">
        <f t="shared" si="58"/>
        <v>0</v>
      </c>
      <c r="T113" s="111">
        <f t="shared" si="59"/>
        <v>0</v>
      </c>
    </row>
    <row r="114" spans="1:20" s="16" customFormat="1" ht="18.75">
      <c r="A114" s="19" t="s">
        <v>176</v>
      </c>
      <c r="B114" s="19" t="s">
        <v>175</v>
      </c>
      <c r="C114" s="19" t="s">
        <v>54</v>
      </c>
      <c r="D114" s="12" t="s">
        <v>111</v>
      </c>
      <c r="E114" s="107">
        <f t="shared" si="60"/>
        <v>134403.4</v>
      </c>
      <c r="F114" s="107">
        <v>134403.4</v>
      </c>
      <c r="G114" s="107"/>
      <c r="H114" s="107"/>
      <c r="I114" s="107">
        <f t="shared" si="61"/>
        <v>5499.1</v>
      </c>
      <c r="J114" s="107">
        <v>5499.1</v>
      </c>
      <c r="K114" s="107"/>
      <c r="L114" s="107"/>
      <c r="M114" s="122">
        <f t="shared" si="82"/>
        <v>4.0914887569808503E-2</v>
      </c>
      <c r="N114" s="122">
        <f t="shared" si="83"/>
        <v>4.0914887569808503E-2</v>
      </c>
      <c r="O114" s="122"/>
      <c r="P114" s="122"/>
      <c r="Q114" s="111">
        <f t="shared" si="56"/>
        <v>-128904.29999999999</v>
      </c>
      <c r="R114" s="111">
        <f t="shared" si="57"/>
        <v>-128904.29999999999</v>
      </c>
      <c r="S114" s="111">
        <f t="shared" si="58"/>
        <v>0</v>
      </c>
      <c r="T114" s="111">
        <f t="shared" si="59"/>
        <v>0</v>
      </c>
    </row>
    <row r="115" spans="1:20" s="16" customFormat="1" ht="79.5">
      <c r="A115" s="19" t="s">
        <v>62</v>
      </c>
      <c r="B115" s="19" t="s">
        <v>61</v>
      </c>
      <c r="C115" s="19" t="s">
        <v>54</v>
      </c>
      <c r="D115" s="12" t="s">
        <v>55</v>
      </c>
      <c r="E115" s="107">
        <f t="shared" si="60"/>
        <v>0</v>
      </c>
      <c r="F115" s="107">
        <v>0</v>
      </c>
      <c r="G115" s="107"/>
      <c r="H115" s="107"/>
      <c r="I115" s="107">
        <f t="shared" si="61"/>
        <v>0</v>
      </c>
      <c r="J115" s="107">
        <v>0</v>
      </c>
      <c r="K115" s="107"/>
      <c r="L115" s="107"/>
      <c r="M115" s="122"/>
      <c r="N115" s="122"/>
      <c r="O115" s="122"/>
      <c r="P115" s="122"/>
      <c r="Q115" s="111">
        <f t="shared" si="56"/>
        <v>0</v>
      </c>
      <c r="R115" s="111">
        <f t="shared" si="57"/>
        <v>0</v>
      </c>
      <c r="S115" s="111">
        <f t="shared" si="58"/>
        <v>0</v>
      </c>
      <c r="T115" s="111">
        <f t="shared" si="59"/>
        <v>0</v>
      </c>
    </row>
    <row r="116" spans="1:20" s="16" customFormat="1" ht="32.25">
      <c r="A116" s="19" t="s">
        <v>425</v>
      </c>
      <c r="B116" s="19" t="s">
        <v>318</v>
      </c>
      <c r="C116" s="19" t="s">
        <v>33</v>
      </c>
      <c r="D116" s="12" t="s">
        <v>319</v>
      </c>
      <c r="E116" s="107">
        <f t="shared" si="60"/>
        <v>0</v>
      </c>
      <c r="F116" s="107"/>
      <c r="G116" s="107"/>
      <c r="H116" s="107"/>
      <c r="I116" s="107">
        <f t="shared" si="61"/>
        <v>24954.77</v>
      </c>
      <c r="J116" s="107">
        <v>24954.77</v>
      </c>
      <c r="K116" s="107"/>
      <c r="L116" s="107"/>
      <c r="M116" s="122"/>
      <c r="N116" s="122"/>
      <c r="O116" s="122"/>
      <c r="P116" s="122"/>
      <c r="Q116" s="111">
        <f t="shared" si="56"/>
        <v>24954.77</v>
      </c>
      <c r="R116" s="111">
        <f t="shared" si="57"/>
        <v>24954.77</v>
      </c>
      <c r="S116" s="111">
        <f t="shared" si="58"/>
        <v>0</v>
      </c>
      <c r="T116" s="111">
        <f t="shared" si="59"/>
        <v>0</v>
      </c>
    </row>
    <row r="117" spans="1:20" s="16" customFormat="1" ht="32.25">
      <c r="A117" s="19" t="s">
        <v>65</v>
      </c>
      <c r="B117" s="19" t="s">
        <v>64</v>
      </c>
      <c r="C117" s="19" t="s">
        <v>56</v>
      </c>
      <c r="D117" s="12" t="s">
        <v>102</v>
      </c>
      <c r="E117" s="107">
        <f t="shared" si="60"/>
        <v>62163.62</v>
      </c>
      <c r="F117" s="107">
        <v>62163.62</v>
      </c>
      <c r="G117" s="107"/>
      <c r="H117" s="107"/>
      <c r="I117" s="107">
        <f t="shared" si="61"/>
        <v>129066.29</v>
      </c>
      <c r="J117" s="107">
        <v>129066.29</v>
      </c>
      <c r="K117" s="107"/>
      <c r="L117" s="107"/>
      <c r="M117" s="122">
        <f t="shared" si="82"/>
        <v>2.0762351034254438</v>
      </c>
      <c r="N117" s="122">
        <f t="shared" si="83"/>
        <v>2.0762351034254438</v>
      </c>
      <c r="O117" s="122"/>
      <c r="P117" s="122"/>
      <c r="Q117" s="111">
        <f t="shared" si="56"/>
        <v>66902.669999999984</v>
      </c>
      <c r="R117" s="111">
        <f t="shared" si="57"/>
        <v>66902.669999999984</v>
      </c>
      <c r="S117" s="111">
        <f t="shared" si="58"/>
        <v>0</v>
      </c>
      <c r="T117" s="111">
        <f t="shared" si="59"/>
        <v>0</v>
      </c>
    </row>
    <row r="118" spans="1:20" s="16" customFormat="1" ht="32.25">
      <c r="A118" s="19" t="s">
        <v>104</v>
      </c>
      <c r="B118" s="19" t="s">
        <v>105</v>
      </c>
      <c r="C118" s="19" t="s">
        <v>56</v>
      </c>
      <c r="D118" s="12" t="s">
        <v>106</v>
      </c>
      <c r="E118" s="107">
        <f t="shared" si="60"/>
        <v>43237.58</v>
      </c>
      <c r="F118" s="107">
        <v>43237.58</v>
      </c>
      <c r="G118" s="107"/>
      <c r="H118" s="107"/>
      <c r="I118" s="107">
        <f t="shared" si="61"/>
        <v>72779.360000000001</v>
      </c>
      <c r="J118" s="107">
        <v>72779.360000000001</v>
      </c>
      <c r="K118" s="107"/>
      <c r="L118" s="107"/>
      <c r="M118" s="122">
        <f t="shared" si="82"/>
        <v>1.6832431417299487</v>
      </c>
      <c r="N118" s="122">
        <f t="shared" si="83"/>
        <v>1.6832431417299487</v>
      </c>
      <c r="O118" s="122"/>
      <c r="P118" s="122"/>
      <c r="Q118" s="111">
        <f t="shared" si="56"/>
        <v>29541.78</v>
      </c>
      <c r="R118" s="111">
        <f t="shared" si="57"/>
        <v>29541.78</v>
      </c>
      <c r="S118" s="111">
        <f t="shared" si="58"/>
        <v>0</v>
      </c>
      <c r="T118" s="111">
        <f t="shared" si="59"/>
        <v>0</v>
      </c>
    </row>
    <row r="119" spans="1:20" s="16" customFormat="1" ht="63.75">
      <c r="A119" s="19" t="s">
        <v>112</v>
      </c>
      <c r="B119" s="19" t="s">
        <v>113</v>
      </c>
      <c r="C119" s="19" t="s">
        <v>56</v>
      </c>
      <c r="D119" s="18" t="s">
        <v>114</v>
      </c>
      <c r="E119" s="107">
        <f t="shared" si="60"/>
        <v>83280.990000000005</v>
      </c>
      <c r="F119" s="107">
        <v>83280.990000000005</v>
      </c>
      <c r="G119" s="107"/>
      <c r="H119" s="107"/>
      <c r="I119" s="107">
        <f t="shared" si="61"/>
        <v>57268.47</v>
      </c>
      <c r="J119" s="107">
        <v>57268.47</v>
      </c>
      <c r="K119" s="107"/>
      <c r="L119" s="107"/>
      <c r="M119" s="122">
        <f t="shared" si="82"/>
        <v>0.68765356895973495</v>
      </c>
      <c r="N119" s="122">
        <f t="shared" si="83"/>
        <v>0.68765356895973495</v>
      </c>
      <c r="O119" s="122"/>
      <c r="P119" s="122"/>
      <c r="Q119" s="111">
        <f t="shared" si="56"/>
        <v>-26012.520000000004</v>
      </c>
      <c r="R119" s="111">
        <f t="shared" si="57"/>
        <v>-26012.520000000004</v>
      </c>
      <c r="S119" s="111">
        <f t="shared" si="58"/>
        <v>0</v>
      </c>
      <c r="T119" s="111">
        <f t="shared" si="59"/>
        <v>0</v>
      </c>
    </row>
    <row r="120" spans="1:20" s="95" customFormat="1" ht="48">
      <c r="A120" s="25" t="s">
        <v>177</v>
      </c>
      <c r="B120" s="25"/>
      <c r="C120" s="25"/>
      <c r="D120" s="26" t="s">
        <v>22</v>
      </c>
      <c r="E120" s="106">
        <f>E121</f>
        <v>15188968.109999999</v>
      </c>
      <c r="F120" s="106">
        <f t="shared" ref="F120:L120" si="84">F121</f>
        <v>12925499.57</v>
      </c>
      <c r="G120" s="106">
        <f t="shared" si="84"/>
        <v>2263468.54</v>
      </c>
      <c r="H120" s="106">
        <f t="shared" si="84"/>
        <v>2263468.54</v>
      </c>
      <c r="I120" s="106">
        <f t="shared" si="84"/>
        <v>16529686.190000001</v>
      </c>
      <c r="J120" s="106">
        <f t="shared" si="84"/>
        <v>14246439.940000001</v>
      </c>
      <c r="K120" s="106">
        <f t="shared" si="84"/>
        <v>2283246.25</v>
      </c>
      <c r="L120" s="106">
        <f t="shared" si="84"/>
        <v>2283246.25</v>
      </c>
      <c r="M120" s="121">
        <f>I120/E120</f>
        <v>1.0882692010602952</v>
      </c>
      <c r="N120" s="121">
        <f t="shared" si="83"/>
        <v>1.1021964654322449</v>
      </c>
      <c r="O120" s="121">
        <f t="shared" ref="O120:P120" si="85">K120/G120</f>
        <v>1.0087377887743914</v>
      </c>
      <c r="P120" s="121">
        <f t="shared" si="85"/>
        <v>1.0087377887743914</v>
      </c>
      <c r="Q120" s="126">
        <f t="shared" si="56"/>
        <v>1340718.0800000019</v>
      </c>
      <c r="R120" s="126">
        <f t="shared" si="57"/>
        <v>1320940.370000001</v>
      </c>
      <c r="S120" s="126">
        <f t="shared" si="58"/>
        <v>19777.709999999963</v>
      </c>
      <c r="T120" s="126">
        <f t="shared" si="59"/>
        <v>19777.709999999963</v>
      </c>
    </row>
    <row r="121" spans="1:20" s="118" customFormat="1" ht="48">
      <c r="A121" s="25" t="s">
        <v>178</v>
      </c>
      <c r="B121" s="25"/>
      <c r="C121" s="25"/>
      <c r="D121" s="26" t="s">
        <v>22</v>
      </c>
      <c r="E121" s="106">
        <f t="shared" si="60"/>
        <v>15188968.109999999</v>
      </c>
      <c r="F121" s="106">
        <f>F122+F123+F124+F125+F126+F128+F129+F130+F131+F132+F135+F136+F137+F139+F140</f>
        <v>12925499.57</v>
      </c>
      <c r="G121" s="106">
        <f t="shared" ref="G121:J121" si="86">G122+G123+G124+G125+G126+G128+G129+G130+G131+G132+G135+G136+G137+G139+G140</f>
        <v>2263468.54</v>
      </c>
      <c r="H121" s="106">
        <f t="shared" si="86"/>
        <v>2263468.54</v>
      </c>
      <c r="I121" s="106">
        <f t="shared" si="61"/>
        <v>16529686.190000001</v>
      </c>
      <c r="J121" s="106">
        <f t="shared" si="86"/>
        <v>14246439.940000001</v>
      </c>
      <c r="K121" s="106">
        <f t="shared" ref="K121" si="87">K122+K123+K124+K125+K126+K128+K129+K130+K131+K132+K135+K136+K137+K139+K140</f>
        <v>2283246.25</v>
      </c>
      <c r="L121" s="106">
        <f t="shared" ref="L121" si="88">L122+L123+L124+L125+L126+L128+L129+L130+L131+L132+L135+L136+L137+L139+L140</f>
        <v>2283246.25</v>
      </c>
      <c r="M121" s="121">
        <f>I121/E121</f>
        <v>1.0882692010602952</v>
      </c>
      <c r="N121" s="121">
        <f t="shared" ref="N121:N122" si="89">J121/F121</f>
        <v>1.1021964654322449</v>
      </c>
      <c r="O121" s="121">
        <f t="shared" ref="O121" si="90">K121/G121</f>
        <v>1.0087377887743914</v>
      </c>
      <c r="P121" s="121">
        <f t="shared" ref="P121" si="91">L121/H121</f>
        <v>1.0087377887743914</v>
      </c>
      <c r="Q121" s="126">
        <f t="shared" si="56"/>
        <v>1340718.0800000019</v>
      </c>
      <c r="R121" s="126">
        <f t="shared" si="57"/>
        <v>1320940.370000001</v>
      </c>
      <c r="S121" s="126">
        <f t="shared" si="58"/>
        <v>19777.709999999963</v>
      </c>
      <c r="T121" s="126">
        <f t="shared" si="59"/>
        <v>19777.709999999963</v>
      </c>
    </row>
    <row r="122" spans="1:20" s="16" customFormat="1" ht="48">
      <c r="A122" s="19" t="s">
        <v>179</v>
      </c>
      <c r="B122" s="19" t="s">
        <v>124</v>
      </c>
      <c r="C122" s="19" t="s">
        <v>32</v>
      </c>
      <c r="D122" s="18" t="s">
        <v>126</v>
      </c>
      <c r="E122" s="107">
        <f t="shared" si="60"/>
        <v>310539.46000000002</v>
      </c>
      <c r="F122" s="107">
        <v>310539.46000000002</v>
      </c>
      <c r="G122" s="107"/>
      <c r="H122" s="107"/>
      <c r="I122" s="107">
        <f t="shared" si="61"/>
        <v>395253.19</v>
      </c>
      <c r="J122" s="107">
        <v>395253.19</v>
      </c>
      <c r="K122" s="107">
        <v>0</v>
      </c>
      <c r="L122" s="107">
        <v>0</v>
      </c>
      <c r="M122" s="122">
        <f>I122/E122</f>
        <v>1.2727953800138636</v>
      </c>
      <c r="N122" s="122">
        <f t="shared" si="89"/>
        <v>1.2727953800138636</v>
      </c>
      <c r="O122" s="122"/>
      <c r="P122" s="122"/>
      <c r="Q122" s="111">
        <f t="shared" si="56"/>
        <v>84713.729999999981</v>
      </c>
      <c r="R122" s="111">
        <f t="shared" si="57"/>
        <v>84713.729999999981</v>
      </c>
      <c r="S122" s="111">
        <f t="shared" si="58"/>
        <v>0</v>
      </c>
      <c r="T122" s="111">
        <f t="shared" si="59"/>
        <v>0</v>
      </c>
    </row>
    <row r="123" spans="1:20" ht="32.25">
      <c r="A123" s="19" t="s">
        <v>390</v>
      </c>
      <c r="B123" s="19" t="s">
        <v>238</v>
      </c>
      <c r="C123" s="19" t="s">
        <v>239</v>
      </c>
      <c r="D123" s="18" t="s">
        <v>240</v>
      </c>
      <c r="E123" s="107">
        <f t="shared" si="60"/>
        <v>0</v>
      </c>
      <c r="F123" s="107"/>
      <c r="G123" s="107"/>
      <c r="H123" s="107"/>
      <c r="I123" s="107">
        <f t="shared" si="61"/>
        <v>0</v>
      </c>
      <c r="J123" s="107">
        <v>0</v>
      </c>
      <c r="K123" s="107"/>
      <c r="L123" s="107"/>
      <c r="M123" s="122"/>
      <c r="N123" s="122"/>
      <c r="O123" s="122"/>
      <c r="P123" s="122"/>
      <c r="Q123" s="111">
        <f t="shared" si="56"/>
        <v>0</v>
      </c>
      <c r="R123" s="111">
        <f t="shared" si="57"/>
        <v>0</v>
      </c>
      <c r="S123" s="111">
        <f t="shared" si="58"/>
        <v>0</v>
      </c>
      <c r="T123" s="111">
        <f t="shared" si="59"/>
        <v>0</v>
      </c>
    </row>
    <row r="124" spans="1:20" s="16" customFormat="1" ht="18.75">
      <c r="A124" s="19" t="s">
        <v>301</v>
      </c>
      <c r="B124" s="19" t="s">
        <v>300</v>
      </c>
      <c r="C124" s="19" t="s">
        <v>252</v>
      </c>
      <c r="D124" s="18" t="s">
        <v>253</v>
      </c>
      <c r="E124" s="107">
        <f t="shared" si="60"/>
        <v>2054.7399999999998</v>
      </c>
      <c r="F124" s="107">
        <v>2054.7399999999998</v>
      </c>
      <c r="G124" s="107"/>
      <c r="H124" s="107"/>
      <c r="I124" s="107">
        <f t="shared" si="61"/>
        <v>2566.7199999999998</v>
      </c>
      <c r="J124" s="107">
        <v>2566.7199999999998</v>
      </c>
      <c r="K124" s="107"/>
      <c r="L124" s="107"/>
      <c r="M124" s="122">
        <f t="shared" ref="M124:M137" si="92">I124/E124</f>
        <v>1.2491702113162737</v>
      </c>
      <c r="N124" s="122">
        <f t="shared" ref="N124:N137" si="93">J124/F124</f>
        <v>1.2491702113162737</v>
      </c>
      <c r="O124" s="122"/>
      <c r="P124" s="122"/>
      <c r="Q124" s="111">
        <f t="shared" si="56"/>
        <v>511.98</v>
      </c>
      <c r="R124" s="111">
        <f t="shared" si="57"/>
        <v>511.98</v>
      </c>
      <c r="S124" s="111">
        <f t="shared" si="58"/>
        <v>0</v>
      </c>
      <c r="T124" s="111">
        <f t="shared" si="59"/>
        <v>0</v>
      </c>
    </row>
    <row r="125" spans="1:20" s="16" customFormat="1" ht="32.25">
      <c r="A125" s="19" t="s">
        <v>201</v>
      </c>
      <c r="B125" s="19" t="s">
        <v>200</v>
      </c>
      <c r="C125" s="19" t="s">
        <v>98</v>
      </c>
      <c r="D125" s="12" t="s">
        <v>202</v>
      </c>
      <c r="E125" s="107">
        <f t="shared" si="60"/>
        <v>1408870.62</v>
      </c>
      <c r="F125" s="109"/>
      <c r="G125" s="107">
        <v>1408870.62</v>
      </c>
      <c r="H125" s="107">
        <v>1408870.62</v>
      </c>
      <c r="I125" s="107">
        <f t="shared" si="61"/>
        <v>452309.82</v>
      </c>
      <c r="J125" s="107">
        <v>0</v>
      </c>
      <c r="K125" s="107">
        <f>452309.82</f>
        <v>452309.82</v>
      </c>
      <c r="L125" s="107">
        <f>452309.82</f>
        <v>452309.82</v>
      </c>
      <c r="M125" s="122">
        <f t="shared" si="92"/>
        <v>0.32104425600130687</v>
      </c>
      <c r="N125" s="122"/>
      <c r="O125" s="122">
        <f t="shared" ref="O125:O133" si="94">K125/G125</f>
        <v>0.32104425600130687</v>
      </c>
      <c r="P125" s="122">
        <f t="shared" ref="P125:P133" si="95">L125/H125</f>
        <v>0.32104425600130687</v>
      </c>
      <c r="Q125" s="111">
        <f t="shared" si="56"/>
        <v>-956560.8</v>
      </c>
      <c r="R125" s="111">
        <f t="shared" si="57"/>
        <v>0</v>
      </c>
      <c r="S125" s="111">
        <f t="shared" si="58"/>
        <v>-956560.8</v>
      </c>
      <c r="T125" s="111">
        <f t="shared" si="59"/>
        <v>-956560.8</v>
      </c>
    </row>
    <row r="126" spans="1:20" s="16" customFormat="1" ht="32.25">
      <c r="A126" s="19" t="s">
        <v>261</v>
      </c>
      <c r="B126" s="19" t="s">
        <v>260</v>
      </c>
      <c r="C126" s="19" t="s">
        <v>40</v>
      </c>
      <c r="D126" s="12" t="s">
        <v>262</v>
      </c>
      <c r="E126" s="107">
        <f t="shared" si="60"/>
        <v>485400</v>
      </c>
      <c r="F126" s="109"/>
      <c r="G126" s="107">
        <v>485400</v>
      </c>
      <c r="H126" s="107">
        <v>485400</v>
      </c>
      <c r="I126" s="107">
        <f t="shared" si="61"/>
        <v>0</v>
      </c>
      <c r="J126" s="107">
        <v>0</v>
      </c>
      <c r="K126" s="107">
        <v>0</v>
      </c>
      <c r="L126" s="107">
        <v>0</v>
      </c>
      <c r="M126" s="122">
        <f t="shared" si="92"/>
        <v>0</v>
      </c>
      <c r="N126" s="122"/>
      <c r="O126" s="122">
        <f t="shared" si="94"/>
        <v>0</v>
      </c>
      <c r="P126" s="122">
        <f t="shared" si="95"/>
        <v>0</v>
      </c>
      <c r="Q126" s="111">
        <f t="shared" si="56"/>
        <v>-485400</v>
      </c>
      <c r="R126" s="111">
        <f t="shared" si="57"/>
        <v>0</v>
      </c>
      <c r="S126" s="111">
        <f t="shared" si="58"/>
        <v>-485400</v>
      </c>
      <c r="T126" s="111">
        <f t="shared" si="59"/>
        <v>-485400</v>
      </c>
    </row>
    <row r="127" spans="1:20" s="102" customFormat="1" ht="18.75">
      <c r="A127" s="35"/>
      <c r="B127" s="35"/>
      <c r="C127" s="35"/>
      <c r="D127" s="36" t="s">
        <v>437</v>
      </c>
      <c r="E127" s="107">
        <f t="shared" si="60"/>
        <v>0</v>
      </c>
      <c r="F127" s="110"/>
      <c r="G127" s="108"/>
      <c r="H127" s="108"/>
      <c r="I127" s="107">
        <f t="shared" si="61"/>
        <v>0</v>
      </c>
      <c r="J127" s="108"/>
      <c r="K127" s="108"/>
      <c r="L127" s="108"/>
      <c r="M127" s="122"/>
      <c r="N127" s="122"/>
      <c r="O127" s="122"/>
      <c r="P127" s="122"/>
      <c r="Q127" s="111">
        <f t="shared" si="56"/>
        <v>0</v>
      </c>
      <c r="R127" s="111">
        <f t="shared" si="57"/>
        <v>0</v>
      </c>
      <c r="S127" s="111">
        <f t="shared" si="58"/>
        <v>0</v>
      </c>
      <c r="T127" s="111">
        <f t="shared" si="59"/>
        <v>0</v>
      </c>
    </row>
    <row r="128" spans="1:20" s="16" customFormat="1" ht="32.25">
      <c r="A128" s="19" t="s">
        <v>204</v>
      </c>
      <c r="B128" s="19" t="s">
        <v>203</v>
      </c>
      <c r="C128" s="19" t="s">
        <v>40</v>
      </c>
      <c r="D128" s="12" t="s">
        <v>205</v>
      </c>
      <c r="E128" s="107">
        <f t="shared" si="60"/>
        <v>0</v>
      </c>
      <c r="F128" s="109"/>
      <c r="G128" s="107"/>
      <c r="H128" s="107"/>
      <c r="I128" s="107">
        <f t="shared" si="61"/>
        <v>18840.740000000002</v>
      </c>
      <c r="J128" s="107">
        <v>18840.740000000002</v>
      </c>
      <c r="K128" s="107">
        <v>0</v>
      </c>
      <c r="L128" s="107">
        <v>0</v>
      </c>
      <c r="M128" s="122"/>
      <c r="N128" s="122"/>
      <c r="O128" s="122"/>
      <c r="P128" s="122"/>
      <c r="Q128" s="111">
        <f t="shared" si="56"/>
        <v>18840.740000000002</v>
      </c>
      <c r="R128" s="111">
        <f t="shared" si="57"/>
        <v>18840.740000000002</v>
      </c>
      <c r="S128" s="111">
        <f t="shared" si="58"/>
        <v>0</v>
      </c>
      <c r="T128" s="111">
        <f t="shared" si="59"/>
        <v>0</v>
      </c>
    </row>
    <row r="129" spans="1:20" s="16" customFormat="1" ht="32.25">
      <c r="A129" s="19" t="s">
        <v>255</v>
      </c>
      <c r="B129" s="19" t="s">
        <v>254</v>
      </c>
      <c r="C129" s="19" t="s">
        <v>40</v>
      </c>
      <c r="D129" s="12" t="s">
        <v>256</v>
      </c>
      <c r="E129" s="107">
        <f t="shared" si="60"/>
        <v>293839.17</v>
      </c>
      <c r="F129" s="109"/>
      <c r="G129" s="107">
        <v>293839.17</v>
      </c>
      <c r="H129" s="107">
        <v>293839.17</v>
      </c>
      <c r="I129" s="107">
        <f t="shared" si="61"/>
        <v>233860</v>
      </c>
      <c r="J129" s="107">
        <v>188500</v>
      </c>
      <c r="K129" s="107">
        <v>45360</v>
      </c>
      <c r="L129" s="107">
        <v>45360</v>
      </c>
      <c r="M129" s="122">
        <f t="shared" si="92"/>
        <v>0.79587755437779117</v>
      </c>
      <c r="N129" s="122"/>
      <c r="O129" s="122">
        <f t="shared" si="94"/>
        <v>0.15437016106463955</v>
      </c>
      <c r="P129" s="122">
        <f t="shared" si="95"/>
        <v>0.15437016106463955</v>
      </c>
      <c r="Q129" s="111">
        <f t="shared" si="56"/>
        <v>-59979.169999999984</v>
      </c>
      <c r="R129" s="111">
        <f t="shared" si="57"/>
        <v>188500</v>
      </c>
      <c r="S129" s="111">
        <f t="shared" si="58"/>
        <v>-248479.16999999998</v>
      </c>
      <c r="T129" s="111">
        <f t="shared" si="59"/>
        <v>-248479.16999999998</v>
      </c>
    </row>
    <row r="130" spans="1:20" s="16" customFormat="1" ht="48">
      <c r="A130" s="19" t="s">
        <v>332</v>
      </c>
      <c r="B130" s="19" t="s">
        <v>333</v>
      </c>
      <c r="C130" s="19" t="s">
        <v>40</v>
      </c>
      <c r="D130" s="12" t="s">
        <v>334</v>
      </c>
      <c r="E130" s="107">
        <f t="shared" si="60"/>
        <v>0</v>
      </c>
      <c r="F130" s="109"/>
      <c r="G130" s="107"/>
      <c r="H130" s="107"/>
      <c r="I130" s="107">
        <f t="shared" si="61"/>
        <v>0</v>
      </c>
      <c r="J130" s="107"/>
      <c r="K130" s="107">
        <v>0</v>
      </c>
      <c r="L130" s="107">
        <v>0</v>
      </c>
      <c r="M130" s="122"/>
      <c r="N130" s="122"/>
      <c r="O130" s="122"/>
      <c r="P130" s="122"/>
      <c r="Q130" s="111">
        <f t="shared" si="56"/>
        <v>0</v>
      </c>
      <c r="R130" s="111">
        <f t="shared" si="57"/>
        <v>0</v>
      </c>
      <c r="S130" s="111">
        <f t="shared" si="58"/>
        <v>0</v>
      </c>
      <c r="T130" s="111">
        <f t="shared" si="59"/>
        <v>0</v>
      </c>
    </row>
    <row r="131" spans="1:20" s="16" customFormat="1" ht="32.25">
      <c r="A131" s="19" t="s">
        <v>335</v>
      </c>
      <c r="B131" s="19" t="s">
        <v>336</v>
      </c>
      <c r="C131" s="19" t="s">
        <v>40</v>
      </c>
      <c r="D131" s="12" t="s">
        <v>337</v>
      </c>
      <c r="E131" s="107">
        <f t="shared" si="60"/>
        <v>0</v>
      </c>
      <c r="F131" s="109"/>
      <c r="G131" s="107"/>
      <c r="H131" s="107"/>
      <c r="I131" s="107">
        <f t="shared" si="61"/>
        <v>75000</v>
      </c>
      <c r="J131" s="107">
        <v>75000</v>
      </c>
      <c r="K131" s="107">
        <v>0</v>
      </c>
      <c r="L131" s="107">
        <v>0</v>
      </c>
      <c r="M131" s="122"/>
      <c r="N131" s="122"/>
      <c r="O131" s="122"/>
      <c r="P131" s="122"/>
      <c r="Q131" s="111">
        <f t="shared" si="56"/>
        <v>75000</v>
      </c>
      <c r="R131" s="111">
        <f t="shared" si="57"/>
        <v>75000</v>
      </c>
      <c r="S131" s="111">
        <f t="shared" si="58"/>
        <v>0</v>
      </c>
      <c r="T131" s="111">
        <f t="shared" si="59"/>
        <v>0</v>
      </c>
    </row>
    <row r="132" spans="1:20" s="16" customFormat="1" ht="19.5" customHeight="1">
      <c r="A132" s="19" t="s">
        <v>180</v>
      </c>
      <c r="B132" s="19" t="s">
        <v>99</v>
      </c>
      <c r="C132" s="19" t="s">
        <v>40</v>
      </c>
      <c r="D132" s="18" t="s">
        <v>121</v>
      </c>
      <c r="E132" s="107">
        <f t="shared" si="60"/>
        <v>7730232.6600000001</v>
      </c>
      <c r="F132" s="107">
        <f>2564896.76+1470318.42+3639169.48</f>
        <v>7674384.6600000001</v>
      </c>
      <c r="G132" s="107">
        <v>55848</v>
      </c>
      <c r="H132" s="107">
        <v>55848</v>
      </c>
      <c r="I132" s="107">
        <f t="shared" si="61"/>
        <v>10422435.459999999</v>
      </c>
      <c r="J132" s="107">
        <f>3810300.34+1588521.05+3479216.73</f>
        <v>8878038.1199999992</v>
      </c>
      <c r="K132" s="107">
        <f>1387928.43+156468.91</f>
        <v>1544397.3399999999</v>
      </c>
      <c r="L132" s="107">
        <f>1387928.43+156468.91</f>
        <v>1544397.3399999999</v>
      </c>
      <c r="M132" s="122">
        <f t="shared" si="92"/>
        <v>1.3482693106936834</v>
      </c>
      <c r="N132" s="122">
        <f t="shared" si="93"/>
        <v>1.156840386992017</v>
      </c>
      <c r="O132" s="122">
        <f t="shared" si="94"/>
        <v>27.653583655636726</v>
      </c>
      <c r="P132" s="122">
        <f t="shared" si="95"/>
        <v>27.653583655636726</v>
      </c>
      <c r="Q132" s="111">
        <f t="shared" si="56"/>
        <v>2692202.7999999989</v>
      </c>
      <c r="R132" s="111">
        <f t="shared" si="57"/>
        <v>1203653.459999999</v>
      </c>
      <c r="S132" s="111">
        <f t="shared" si="58"/>
        <v>1488549.3399999999</v>
      </c>
      <c r="T132" s="111">
        <f t="shared" si="59"/>
        <v>1488549.3399999999</v>
      </c>
    </row>
    <row r="133" spans="1:20" s="16" customFormat="1" ht="18.75" hidden="1">
      <c r="A133" s="19" t="s">
        <v>380</v>
      </c>
      <c r="B133" s="19" t="s">
        <v>211</v>
      </c>
      <c r="C133" s="19" t="s">
        <v>115</v>
      </c>
      <c r="D133" s="18" t="s">
        <v>213</v>
      </c>
      <c r="E133" s="107">
        <f t="shared" si="60"/>
        <v>0</v>
      </c>
      <c r="F133" s="107"/>
      <c r="G133" s="107"/>
      <c r="H133" s="107"/>
      <c r="I133" s="107">
        <f t="shared" si="61"/>
        <v>0</v>
      </c>
      <c r="J133" s="107"/>
      <c r="K133" s="107"/>
      <c r="L133" s="107"/>
      <c r="M133" s="122" t="e">
        <f t="shared" si="92"/>
        <v>#DIV/0!</v>
      </c>
      <c r="N133" s="122" t="e">
        <f t="shared" si="93"/>
        <v>#DIV/0!</v>
      </c>
      <c r="O133" s="122" t="e">
        <f t="shared" si="94"/>
        <v>#DIV/0!</v>
      </c>
      <c r="P133" s="122" t="e">
        <f t="shared" si="95"/>
        <v>#DIV/0!</v>
      </c>
      <c r="Q133" s="111">
        <f t="shared" si="56"/>
        <v>0</v>
      </c>
      <c r="R133" s="111">
        <f t="shared" si="57"/>
        <v>0</v>
      </c>
      <c r="S133" s="111">
        <f t="shared" si="58"/>
        <v>0</v>
      </c>
      <c r="T133" s="111">
        <f t="shared" si="59"/>
        <v>0</v>
      </c>
    </row>
    <row r="134" spans="1:20" s="102" customFormat="1" ht="18.75">
      <c r="A134" s="35"/>
      <c r="B134" s="35"/>
      <c r="C134" s="35"/>
      <c r="D134" s="83" t="s">
        <v>437</v>
      </c>
      <c r="E134" s="107">
        <f t="shared" si="60"/>
        <v>0</v>
      </c>
      <c r="F134" s="108"/>
      <c r="G134" s="108"/>
      <c r="H134" s="108"/>
      <c r="I134" s="107">
        <f t="shared" si="61"/>
        <v>0</v>
      </c>
      <c r="J134" s="108"/>
      <c r="K134" s="108"/>
      <c r="L134" s="108"/>
      <c r="M134" s="122"/>
      <c r="N134" s="122"/>
      <c r="O134" s="122"/>
      <c r="P134" s="122"/>
      <c r="Q134" s="111">
        <f t="shared" si="56"/>
        <v>0</v>
      </c>
      <c r="R134" s="111">
        <f t="shared" si="57"/>
        <v>0</v>
      </c>
      <c r="S134" s="111">
        <f t="shared" si="58"/>
        <v>0</v>
      </c>
      <c r="T134" s="111">
        <f t="shared" si="59"/>
        <v>0</v>
      </c>
    </row>
    <row r="135" spans="1:20" s="16" customFormat="1" ht="32.25">
      <c r="A135" s="19" t="s">
        <v>264</v>
      </c>
      <c r="B135" s="19" t="s">
        <v>263</v>
      </c>
      <c r="C135" s="19" t="s">
        <v>265</v>
      </c>
      <c r="D135" s="12" t="s">
        <v>266</v>
      </c>
      <c r="E135" s="107">
        <f t="shared" si="60"/>
        <v>104000</v>
      </c>
      <c r="F135" s="107">
        <v>104000</v>
      </c>
      <c r="G135" s="107"/>
      <c r="H135" s="107"/>
      <c r="I135" s="107">
        <f t="shared" si="61"/>
        <v>199999.97</v>
      </c>
      <c r="J135" s="107">
        <v>199999.97</v>
      </c>
      <c r="K135" s="107"/>
      <c r="L135" s="107"/>
      <c r="M135" s="122">
        <f t="shared" si="92"/>
        <v>1.9230766346153847</v>
      </c>
      <c r="N135" s="122">
        <f t="shared" si="93"/>
        <v>1.9230766346153847</v>
      </c>
      <c r="O135" s="122"/>
      <c r="P135" s="122"/>
      <c r="Q135" s="111">
        <f t="shared" si="56"/>
        <v>95999.97</v>
      </c>
      <c r="R135" s="111">
        <f t="shared" si="57"/>
        <v>95999.97</v>
      </c>
      <c r="S135" s="111">
        <f t="shared" si="58"/>
        <v>0</v>
      </c>
      <c r="T135" s="111">
        <f t="shared" si="59"/>
        <v>0</v>
      </c>
    </row>
    <row r="136" spans="1:20" s="16" customFormat="1" ht="32.25">
      <c r="A136" s="19" t="s">
        <v>292</v>
      </c>
      <c r="B136" s="19" t="s">
        <v>291</v>
      </c>
      <c r="C136" s="19" t="s">
        <v>58</v>
      </c>
      <c r="D136" s="18" t="s">
        <v>258</v>
      </c>
      <c r="E136" s="107">
        <f t="shared" si="60"/>
        <v>0</v>
      </c>
      <c r="F136" s="107"/>
      <c r="G136" s="107"/>
      <c r="H136" s="107"/>
      <c r="I136" s="107">
        <f t="shared" si="61"/>
        <v>0</v>
      </c>
      <c r="J136" s="107"/>
      <c r="K136" s="107">
        <v>0</v>
      </c>
      <c r="L136" s="107">
        <v>0</v>
      </c>
      <c r="M136" s="122"/>
      <c r="N136" s="122"/>
      <c r="O136" s="122"/>
      <c r="P136" s="122"/>
      <c r="Q136" s="111">
        <f t="shared" si="56"/>
        <v>0</v>
      </c>
      <c r="R136" s="111">
        <f t="shared" si="57"/>
        <v>0</v>
      </c>
      <c r="S136" s="111">
        <f t="shared" si="58"/>
        <v>0</v>
      </c>
      <c r="T136" s="111">
        <f t="shared" si="59"/>
        <v>0</v>
      </c>
    </row>
    <row r="137" spans="1:20" s="16" customFormat="1" ht="48">
      <c r="A137" s="19" t="s">
        <v>257</v>
      </c>
      <c r="B137" s="19" t="s">
        <v>198</v>
      </c>
      <c r="C137" s="19" t="s">
        <v>100</v>
      </c>
      <c r="D137" s="12" t="s">
        <v>199</v>
      </c>
      <c r="E137" s="107">
        <f t="shared" si="60"/>
        <v>4854031.46</v>
      </c>
      <c r="F137" s="107">
        <v>4834520.71</v>
      </c>
      <c r="G137" s="107">
        <f>12991.52+6519.23</f>
        <v>19510.75</v>
      </c>
      <c r="H137" s="107">
        <f>12991.52+6519.23</f>
        <v>19510.75</v>
      </c>
      <c r="I137" s="107">
        <f t="shared" si="61"/>
        <v>4499314.29</v>
      </c>
      <c r="J137" s="107">
        <f>4488241.2</f>
        <v>4488241.2</v>
      </c>
      <c r="K137" s="107">
        <v>11073.09</v>
      </c>
      <c r="L137" s="107">
        <v>11073.09</v>
      </c>
      <c r="M137" s="122">
        <f t="shared" si="92"/>
        <v>0.92692318273520213</v>
      </c>
      <c r="N137" s="122">
        <f t="shared" si="93"/>
        <v>0.92837355949603539</v>
      </c>
      <c r="O137" s="122">
        <f t="shared" ref="O137" si="96">K137/G137</f>
        <v>0.56753789577540592</v>
      </c>
      <c r="P137" s="122">
        <f t="shared" ref="P137" si="97">L137/H137</f>
        <v>0.56753789577540592</v>
      </c>
      <c r="Q137" s="111">
        <f t="shared" si="56"/>
        <v>-354717.16999999993</v>
      </c>
      <c r="R137" s="111">
        <f t="shared" si="57"/>
        <v>-346279.50999999978</v>
      </c>
      <c r="S137" s="111">
        <f t="shared" si="58"/>
        <v>-8437.66</v>
      </c>
      <c r="T137" s="111">
        <f t="shared" si="59"/>
        <v>-8437.66</v>
      </c>
    </row>
    <row r="138" spans="1:20" s="102" customFormat="1" ht="18.75">
      <c r="A138" s="35"/>
      <c r="B138" s="35"/>
      <c r="C138" s="35"/>
      <c r="D138" s="36" t="s">
        <v>437</v>
      </c>
      <c r="E138" s="107">
        <f t="shared" si="60"/>
        <v>0</v>
      </c>
      <c r="F138" s="108"/>
      <c r="G138" s="108"/>
      <c r="H138" s="108"/>
      <c r="I138" s="107">
        <f t="shared" si="61"/>
        <v>0</v>
      </c>
      <c r="J138" s="108"/>
      <c r="K138" s="108"/>
      <c r="L138" s="108"/>
      <c r="M138" s="122"/>
      <c r="N138" s="122"/>
      <c r="O138" s="122"/>
      <c r="P138" s="122"/>
      <c r="Q138" s="111">
        <f t="shared" si="56"/>
        <v>0</v>
      </c>
      <c r="R138" s="111">
        <f t="shared" si="57"/>
        <v>0</v>
      </c>
      <c r="S138" s="111">
        <f t="shared" si="58"/>
        <v>0</v>
      </c>
      <c r="T138" s="111">
        <f t="shared" si="59"/>
        <v>0</v>
      </c>
    </row>
    <row r="139" spans="1:20" s="16" customFormat="1" ht="18.75">
      <c r="A139" s="19" t="s">
        <v>259</v>
      </c>
      <c r="B139" s="19" t="s">
        <v>196</v>
      </c>
      <c r="C139" s="19" t="s">
        <v>38</v>
      </c>
      <c r="D139" s="12" t="s">
        <v>39</v>
      </c>
      <c r="E139" s="107">
        <f t="shared" si="60"/>
        <v>0</v>
      </c>
      <c r="F139" s="107"/>
      <c r="G139" s="107"/>
      <c r="H139" s="107"/>
      <c r="I139" s="107">
        <f t="shared" si="61"/>
        <v>230106</v>
      </c>
      <c r="J139" s="107"/>
      <c r="K139" s="107">
        <v>230106</v>
      </c>
      <c r="L139" s="107">
        <v>230106</v>
      </c>
      <c r="M139" s="122"/>
      <c r="N139" s="122"/>
      <c r="O139" s="122"/>
      <c r="P139" s="122"/>
      <c r="Q139" s="111">
        <f t="shared" si="56"/>
        <v>230106</v>
      </c>
      <c r="R139" s="111">
        <f t="shared" si="57"/>
        <v>0</v>
      </c>
      <c r="S139" s="111">
        <f t="shared" si="58"/>
        <v>230106</v>
      </c>
      <c r="T139" s="111">
        <f t="shared" si="59"/>
        <v>230106</v>
      </c>
    </row>
    <row r="140" spans="1:20" s="16" customFormat="1" ht="32.25">
      <c r="A140" s="19" t="s">
        <v>283</v>
      </c>
      <c r="B140" s="19" t="s">
        <v>274</v>
      </c>
      <c r="C140" s="19" t="s">
        <v>101</v>
      </c>
      <c r="D140" s="18" t="s">
        <v>295</v>
      </c>
      <c r="E140" s="107">
        <f t="shared" si="60"/>
        <v>0</v>
      </c>
      <c r="F140" s="107"/>
      <c r="G140" s="107"/>
      <c r="H140" s="107"/>
      <c r="I140" s="107">
        <f t="shared" si="61"/>
        <v>0</v>
      </c>
      <c r="J140" s="107"/>
      <c r="K140" s="107"/>
      <c r="L140" s="107"/>
      <c r="M140" s="122"/>
      <c r="N140" s="122"/>
      <c r="O140" s="122"/>
      <c r="P140" s="122"/>
      <c r="Q140" s="111">
        <f t="shared" si="56"/>
        <v>0</v>
      </c>
      <c r="R140" s="111">
        <f t="shared" si="57"/>
        <v>0</v>
      </c>
      <c r="S140" s="111">
        <f t="shared" si="58"/>
        <v>0</v>
      </c>
      <c r="T140" s="111">
        <f t="shared" si="59"/>
        <v>0</v>
      </c>
    </row>
    <row r="141" spans="1:20" s="95" customFormat="1" ht="34.5" customHeight="1">
      <c r="A141" s="25" t="s">
        <v>66</v>
      </c>
      <c r="B141" s="25"/>
      <c r="C141" s="25"/>
      <c r="D141" s="26" t="s">
        <v>27</v>
      </c>
      <c r="E141" s="106">
        <f>E142</f>
        <v>22677339.889999997</v>
      </c>
      <c r="F141" s="106">
        <f t="shared" ref="F141:L141" si="98">F142</f>
        <v>387260.79</v>
      </c>
      <c r="G141" s="106">
        <f t="shared" si="98"/>
        <v>22290079.099999998</v>
      </c>
      <c r="H141" s="106">
        <f t="shared" si="98"/>
        <v>12402955.4</v>
      </c>
      <c r="I141" s="106">
        <f t="shared" si="98"/>
        <v>16467218.950000001</v>
      </c>
      <c r="J141" s="106">
        <f t="shared" si="98"/>
        <v>484519.56</v>
      </c>
      <c r="K141" s="106">
        <f t="shared" si="98"/>
        <v>15982699.390000001</v>
      </c>
      <c r="L141" s="106">
        <f t="shared" si="98"/>
        <v>15982699.390000001</v>
      </c>
      <c r="M141" s="121">
        <f>I141/E141</f>
        <v>0.72615302455565056</v>
      </c>
      <c r="N141" s="121">
        <f t="shared" ref="N141:P141" si="99">J141/F141</f>
        <v>1.2511454103060629</v>
      </c>
      <c r="O141" s="121">
        <f t="shared" si="99"/>
        <v>0.71703197275778185</v>
      </c>
      <c r="P141" s="121">
        <f t="shared" si="99"/>
        <v>1.2886202420755299</v>
      </c>
      <c r="Q141" s="126">
        <f t="shared" si="56"/>
        <v>-6210120.9399999958</v>
      </c>
      <c r="R141" s="126">
        <f t="shared" si="57"/>
        <v>97258.770000000019</v>
      </c>
      <c r="S141" s="126">
        <f t="shared" si="58"/>
        <v>-6307379.7099999972</v>
      </c>
      <c r="T141" s="126">
        <f t="shared" si="59"/>
        <v>3579743.99</v>
      </c>
    </row>
    <row r="142" spans="1:20" s="118" customFormat="1" ht="31.5" customHeight="1">
      <c r="A142" s="25" t="s">
        <v>67</v>
      </c>
      <c r="B142" s="25"/>
      <c r="C142" s="25"/>
      <c r="D142" s="26" t="s">
        <v>27</v>
      </c>
      <c r="E142" s="106">
        <f t="shared" si="60"/>
        <v>22677339.889999997</v>
      </c>
      <c r="F142" s="106">
        <f>F143+F144+F145+F149+F150</f>
        <v>387260.79</v>
      </c>
      <c r="G142" s="106">
        <f>G143+G144+G145+G149+G150</f>
        <v>22290079.099999998</v>
      </c>
      <c r="H142" s="106">
        <f t="shared" ref="H142:J142" si="100">H143+H144+H145+H150</f>
        <v>12402955.4</v>
      </c>
      <c r="I142" s="106">
        <f t="shared" si="61"/>
        <v>16467218.950000001</v>
      </c>
      <c r="J142" s="106">
        <f t="shared" si="100"/>
        <v>484519.56</v>
      </c>
      <c r="K142" s="106">
        <f t="shared" ref="K142" si="101">K143+K144+K145+K150</f>
        <v>15982699.390000001</v>
      </c>
      <c r="L142" s="106">
        <f t="shared" ref="L142" si="102">L143+L144+L145+L150</f>
        <v>15982699.390000001</v>
      </c>
      <c r="M142" s="121">
        <f>I142/E142</f>
        <v>0.72615302455565056</v>
      </c>
      <c r="N142" s="121">
        <f t="shared" ref="N142:N143" si="103">J142/F142</f>
        <v>1.2511454103060629</v>
      </c>
      <c r="O142" s="121">
        <f t="shared" ref="O142" si="104">K142/G142</f>
        <v>0.71703197275778185</v>
      </c>
      <c r="P142" s="121">
        <f t="shared" ref="P142" si="105">L142/H142</f>
        <v>1.2886202420755299</v>
      </c>
      <c r="Q142" s="126">
        <f t="shared" si="56"/>
        <v>-6210120.9399999958</v>
      </c>
      <c r="R142" s="126">
        <f t="shared" si="57"/>
        <v>97258.770000000019</v>
      </c>
      <c r="S142" s="126">
        <f t="shared" si="58"/>
        <v>-6307379.7099999972</v>
      </c>
      <c r="T142" s="126">
        <f t="shared" si="59"/>
        <v>3579743.99</v>
      </c>
    </row>
    <row r="143" spans="1:20" s="16" customFormat="1" ht="48">
      <c r="A143" s="19" t="s">
        <v>184</v>
      </c>
      <c r="B143" s="19" t="s">
        <v>124</v>
      </c>
      <c r="C143" s="19" t="s">
        <v>32</v>
      </c>
      <c r="D143" s="18" t="s">
        <v>126</v>
      </c>
      <c r="E143" s="107">
        <f t="shared" si="60"/>
        <v>387260.79</v>
      </c>
      <c r="F143" s="107">
        <v>387260.79</v>
      </c>
      <c r="G143" s="107"/>
      <c r="H143" s="107"/>
      <c r="I143" s="107">
        <f t="shared" si="61"/>
        <v>499497.56</v>
      </c>
      <c r="J143" s="107">
        <v>484519.56</v>
      </c>
      <c r="K143" s="107">
        <v>14978</v>
      </c>
      <c r="L143" s="107">
        <v>14978</v>
      </c>
      <c r="M143" s="122">
        <f>I143/E143</f>
        <v>1.2898221893313806</v>
      </c>
      <c r="N143" s="122">
        <f t="shared" si="103"/>
        <v>1.2511454103060629</v>
      </c>
      <c r="O143" s="122"/>
      <c r="P143" s="122"/>
      <c r="Q143" s="111">
        <f t="shared" si="56"/>
        <v>112236.77000000002</v>
      </c>
      <c r="R143" s="111">
        <f t="shared" si="57"/>
        <v>97258.770000000019</v>
      </c>
      <c r="S143" s="111">
        <f t="shared" si="58"/>
        <v>14978</v>
      </c>
      <c r="T143" s="111">
        <f t="shared" si="59"/>
        <v>14978</v>
      </c>
    </row>
    <row r="144" spans="1:20" s="16" customFormat="1" ht="32.25">
      <c r="A144" s="19" t="s">
        <v>269</v>
      </c>
      <c r="B144" s="19" t="s">
        <v>267</v>
      </c>
      <c r="C144" s="19" t="s">
        <v>98</v>
      </c>
      <c r="D144" s="18" t="s">
        <v>268</v>
      </c>
      <c r="E144" s="107">
        <f t="shared" si="60"/>
        <v>0</v>
      </c>
      <c r="F144" s="107"/>
      <c r="G144" s="107"/>
      <c r="H144" s="107"/>
      <c r="I144" s="107">
        <f t="shared" si="61"/>
        <v>0</v>
      </c>
      <c r="J144" s="107"/>
      <c r="K144" s="107"/>
      <c r="L144" s="107"/>
      <c r="M144" s="122"/>
      <c r="N144" s="122"/>
      <c r="O144" s="122"/>
      <c r="P144" s="122"/>
      <c r="Q144" s="111">
        <f t="shared" ref="Q144:Q169" si="106">I144-E144</f>
        <v>0</v>
      </c>
      <c r="R144" s="111">
        <f t="shared" ref="R144:R169" si="107">J144-F144</f>
        <v>0</v>
      </c>
      <c r="S144" s="111">
        <f t="shared" ref="S144:S169" si="108">K144-G144</f>
        <v>0</v>
      </c>
      <c r="T144" s="111">
        <f t="shared" ref="T144:T169" si="109">L144-H144</f>
        <v>0</v>
      </c>
    </row>
    <row r="145" spans="1:20" s="16" customFormat="1" ht="36" customHeight="1">
      <c r="A145" s="19" t="s">
        <v>293</v>
      </c>
      <c r="B145" s="19" t="s">
        <v>291</v>
      </c>
      <c r="C145" s="19" t="s">
        <v>58</v>
      </c>
      <c r="D145" s="18" t="s">
        <v>258</v>
      </c>
      <c r="E145" s="107">
        <f t="shared" si="60"/>
        <v>6180315.9500000002</v>
      </c>
      <c r="F145" s="107"/>
      <c r="G145" s="107">
        <v>6180315.9500000002</v>
      </c>
      <c r="H145" s="107">
        <v>6180315.9500000002</v>
      </c>
      <c r="I145" s="107">
        <f t="shared" si="61"/>
        <v>12767721.390000001</v>
      </c>
      <c r="J145" s="107"/>
      <c r="K145" s="107">
        <f>3096765.29+9670956.1</f>
        <v>12767721.390000001</v>
      </c>
      <c r="L145" s="107">
        <f>3096765.29+9670956.1</f>
        <v>12767721.390000001</v>
      </c>
      <c r="M145" s="122">
        <f t="shared" ref="M145:M150" si="110">I145/E145</f>
        <v>2.0658687182489435</v>
      </c>
      <c r="N145" s="122"/>
      <c r="O145" s="122">
        <f t="shared" ref="O145:O150" si="111">K145/G145</f>
        <v>2.0658687182489435</v>
      </c>
      <c r="P145" s="122">
        <f t="shared" ref="P145:P150" si="112">L145/H145</f>
        <v>2.0658687182489435</v>
      </c>
      <c r="Q145" s="111">
        <f t="shared" si="106"/>
        <v>6587405.4400000004</v>
      </c>
      <c r="R145" s="111">
        <f t="shared" si="107"/>
        <v>0</v>
      </c>
      <c r="S145" s="111">
        <f t="shared" si="108"/>
        <v>6587405.4400000004</v>
      </c>
      <c r="T145" s="111">
        <f t="shared" si="109"/>
        <v>6587405.4400000004</v>
      </c>
    </row>
    <row r="146" spans="1:20" s="16" customFormat="1" ht="126.75" hidden="1">
      <c r="A146" s="19" t="s">
        <v>371</v>
      </c>
      <c r="B146" s="19" t="s">
        <v>372</v>
      </c>
      <c r="C146" s="19" t="s">
        <v>58</v>
      </c>
      <c r="D146" s="18" t="s">
        <v>373</v>
      </c>
      <c r="E146" s="107">
        <f t="shared" ref="E146:E169" si="113">F146+G146</f>
        <v>0</v>
      </c>
      <c r="F146" s="107"/>
      <c r="G146" s="107"/>
      <c r="H146" s="107"/>
      <c r="I146" s="107">
        <f t="shared" ref="I146:I169" si="114">J146+K146</f>
        <v>0</v>
      </c>
      <c r="J146" s="107"/>
      <c r="K146" s="107"/>
      <c r="L146" s="107"/>
      <c r="M146" s="122" t="e">
        <f t="shared" si="110"/>
        <v>#DIV/0!</v>
      </c>
      <c r="N146" s="122"/>
      <c r="O146" s="122" t="e">
        <f t="shared" si="111"/>
        <v>#DIV/0!</v>
      </c>
      <c r="P146" s="122" t="e">
        <f t="shared" si="112"/>
        <v>#DIV/0!</v>
      </c>
      <c r="Q146" s="111">
        <f t="shared" si="106"/>
        <v>0</v>
      </c>
      <c r="R146" s="111">
        <f t="shared" si="107"/>
        <v>0</v>
      </c>
      <c r="S146" s="111">
        <f t="shared" si="108"/>
        <v>0</v>
      </c>
      <c r="T146" s="111">
        <f t="shared" si="109"/>
        <v>0</v>
      </c>
    </row>
    <row r="147" spans="1:20" s="16" customFormat="1" ht="53.25" hidden="1" customHeight="1">
      <c r="A147" s="19" t="s">
        <v>408</v>
      </c>
      <c r="B147" s="19" t="s">
        <v>194</v>
      </c>
      <c r="C147" s="19" t="s">
        <v>36</v>
      </c>
      <c r="D147" s="12" t="s">
        <v>299</v>
      </c>
      <c r="E147" s="107">
        <f t="shared" si="113"/>
        <v>0</v>
      </c>
      <c r="F147" s="107"/>
      <c r="G147" s="107"/>
      <c r="H147" s="107"/>
      <c r="I147" s="107">
        <f t="shared" si="114"/>
        <v>0</v>
      </c>
      <c r="J147" s="107"/>
      <c r="K147" s="107"/>
      <c r="L147" s="111"/>
      <c r="M147" s="122" t="e">
        <f t="shared" si="110"/>
        <v>#DIV/0!</v>
      </c>
      <c r="N147" s="122"/>
      <c r="O147" s="122" t="e">
        <f t="shared" si="111"/>
        <v>#DIV/0!</v>
      </c>
      <c r="P147" s="122" t="e">
        <f t="shared" si="112"/>
        <v>#DIV/0!</v>
      </c>
      <c r="Q147" s="111">
        <f t="shared" si="106"/>
        <v>0</v>
      </c>
      <c r="R147" s="111">
        <f t="shared" si="107"/>
        <v>0</v>
      </c>
      <c r="S147" s="111">
        <f t="shared" si="108"/>
        <v>0</v>
      </c>
      <c r="T147" s="111">
        <f t="shared" si="109"/>
        <v>0</v>
      </c>
    </row>
    <row r="148" spans="1:20" s="102" customFormat="1" ht="24" customHeight="1">
      <c r="A148" s="35"/>
      <c r="B148" s="35"/>
      <c r="C148" s="35"/>
      <c r="D148" s="36" t="s">
        <v>437</v>
      </c>
      <c r="E148" s="107">
        <f t="shared" si="113"/>
        <v>0</v>
      </c>
      <c r="F148" s="108"/>
      <c r="G148" s="108"/>
      <c r="H148" s="108"/>
      <c r="I148" s="107">
        <f t="shared" si="114"/>
        <v>0</v>
      </c>
      <c r="J148" s="108"/>
      <c r="K148" s="108"/>
      <c r="L148" s="116"/>
      <c r="M148" s="122"/>
      <c r="N148" s="122"/>
      <c r="O148" s="122"/>
      <c r="P148" s="122"/>
      <c r="Q148" s="111">
        <f t="shared" si="106"/>
        <v>0</v>
      </c>
      <c r="R148" s="111">
        <f t="shared" si="107"/>
        <v>0</v>
      </c>
      <c r="S148" s="111">
        <f t="shared" si="108"/>
        <v>0</v>
      </c>
      <c r="T148" s="111">
        <f t="shared" si="109"/>
        <v>0</v>
      </c>
    </row>
    <row r="149" spans="1:20" s="16" customFormat="1" ht="138" customHeight="1">
      <c r="A149" s="19" t="s">
        <v>371</v>
      </c>
      <c r="B149" s="19" t="s">
        <v>372</v>
      </c>
      <c r="C149" s="19" t="s">
        <v>58</v>
      </c>
      <c r="D149" s="18" t="s">
        <v>373</v>
      </c>
      <c r="E149" s="107">
        <f>F149+G149</f>
        <v>9887123.6999999993</v>
      </c>
      <c r="F149" s="107"/>
      <c r="G149" s="107">
        <v>9887123.6999999993</v>
      </c>
      <c r="H149" s="107"/>
      <c r="I149" s="107"/>
      <c r="J149" s="107"/>
      <c r="K149" s="107"/>
      <c r="L149" s="111"/>
      <c r="M149" s="122"/>
      <c r="N149" s="122"/>
      <c r="O149" s="122"/>
      <c r="P149" s="122"/>
      <c r="Q149" s="111"/>
      <c r="R149" s="111"/>
      <c r="S149" s="111"/>
      <c r="T149" s="111"/>
    </row>
    <row r="150" spans="1:20" s="16" customFormat="1" ht="36.75" customHeight="1">
      <c r="A150" s="19" t="s">
        <v>271</v>
      </c>
      <c r="B150" s="19" t="s">
        <v>270</v>
      </c>
      <c r="C150" s="19" t="s">
        <v>273</v>
      </c>
      <c r="D150" s="18" t="s">
        <v>272</v>
      </c>
      <c r="E150" s="107">
        <f t="shared" si="113"/>
        <v>6222639.4500000002</v>
      </c>
      <c r="F150" s="107"/>
      <c r="G150" s="107">
        <v>6222639.4500000002</v>
      </c>
      <c r="H150" s="107">
        <v>6222639.4500000002</v>
      </c>
      <c r="I150" s="107">
        <f t="shared" si="114"/>
        <v>3200000</v>
      </c>
      <c r="J150" s="107"/>
      <c r="K150" s="107">
        <v>3200000</v>
      </c>
      <c r="L150" s="107">
        <v>3200000</v>
      </c>
      <c r="M150" s="122">
        <f t="shared" si="110"/>
        <v>0.5142512314448815</v>
      </c>
      <c r="N150" s="122"/>
      <c r="O150" s="122">
        <f t="shared" si="111"/>
        <v>0.5142512314448815</v>
      </c>
      <c r="P150" s="122">
        <f t="shared" si="112"/>
        <v>0.5142512314448815</v>
      </c>
      <c r="Q150" s="111">
        <f t="shared" si="106"/>
        <v>-3022639.45</v>
      </c>
      <c r="R150" s="111">
        <f t="shared" si="107"/>
        <v>0</v>
      </c>
      <c r="S150" s="111">
        <f t="shared" si="108"/>
        <v>-3022639.45</v>
      </c>
      <c r="T150" s="111">
        <f t="shared" si="109"/>
        <v>-3022639.45</v>
      </c>
    </row>
    <row r="151" spans="1:20" s="118" customFormat="1" ht="48">
      <c r="A151" s="25" t="s">
        <v>185</v>
      </c>
      <c r="B151" s="25"/>
      <c r="C151" s="25"/>
      <c r="D151" s="26" t="s">
        <v>23</v>
      </c>
      <c r="E151" s="106">
        <f>E152</f>
        <v>464224.68</v>
      </c>
      <c r="F151" s="106">
        <f t="shared" ref="F151:L151" si="115">F152</f>
        <v>464224.68</v>
      </c>
      <c r="G151" s="106">
        <f t="shared" si="115"/>
        <v>0</v>
      </c>
      <c r="H151" s="106">
        <f t="shared" si="115"/>
        <v>0</v>
      </c>
      <c r="I151" s="106">
        <f t="shared" si="115"/>
        <v>1988377.6600000001</v>
      </c>
      <c r="J151" s="106">
        <f t="shared" si="115"/>
        <v>1948527.6600000001</v>
      </c>
      <c r="K151" s="106">
        <f t="shared" si="115"/>
        <v>39850</v>
      </c>
      <c r="L151" s="106">
        <f t="shared" si="115"/>
        <v>39850</v>
      </c>
      <c r="M151" s="121">
        <f>I151/E151</f>
        <v>4.2832226412434604</v>
      </c>
      <c r="N151" s="121">
        <f t="shared" ref="N151" si="116">J151/F151</f>
        <v>4.1973805873483512</v>
      </c>
      <c r="O151" s="121"/>
      <c r="P151" s="121"/>
      <c r="Q151" s="126">
        <f t="shared" si="106"/>
        <v>1524152.9800000002</v>
      </c>
      <c r="R151" s="126">
        <f t="shared" si="107"/>
        <v>1484302.9800000002</v>
      </c>
      <c r="S151" s="126">
        <f t="shared" si="108"/>
        <v>39850</v>
      </c>
      <c r="T151" s="126">
        <f t="shared" si="109"/>
        <v>39850</v>
      </c>
    </row>
    <row r="152" spans="1:20" s="118" customFormat="1" ht="48">
      <c r="A152" s="25" t="s">
        <v>186</v>
      </c>
      <c r="B152" s="25"/>
      <c r="C152" s="25"/>
      <c r="D152" s="26" t="s">
        <v>23</v>
      </c>
      <c r="E152" s="106">
        <f t="shared" si="113"/>
        <v>464224.68</v>
      </c>
      <c r="F152" s="106">
        <f>F153+F154+F155+F156+F157+F158+F159+F160</f>
        <v>464224.68</v>
      </c>
      <c r="G152" s="106">
        <f t="shared" ref="G152:J152" si="117">G153+G154+G155+G156+G157+G158+G159+G160</f>
        <v>0</v>
      </c>
      <c r="H152" s="106">
        <f t="shared" si="117"/>
        <v>0</v>
      </c>
      <c r="I152" s="106">
        <f t="shared" si="114"/>
        <v>1988377.6600000001</v>
      </c>
      <c r="J152" s="106">
        <f t="shared" si="117"/>
        <v>1948527.6600000001</v>
      </c>
      <c r="K152" s="106">
        <f t="shared" ref="K152" si="118">K153+K154+K155+K156+K157+K158+K159+K160</f>
        <v>39850</v>
      </c>
      <c r="L152" s="106">
        <f t="shared" ref="L152" si="119">L153+L154+L155+L156+L157+L158+L159+L160</f>
        <v>39850</v>
      </c>
      <c r="M152" s="121">
        <f>I152/E152</f>
        <v>4.2832226412434604</v>
      </c>
      <c r="N152" s="121">
        <f t="shared" ref="N152:N153" si="120">J152/F152</f>
        <v>4.1973805873483512</v>
      </c>
      <c r="O152" s="121"/>
      <c r="P152" s="121"/>
      <c r="Q152" s="126">
        <f t="shared" si="106"/>
        <v>1524152.9800000002</v>
      </c>
      <c r="R152" s="126">
        <f t="shared" si="107"/>
        <v>1484302.9800000002</v>
      </c>
      <c r="S152" s="126">
        <f t="shared" si="108"/>
        <v>39850</v>
      </c>
      <c r="T152" s="126">
        <f t="shared" si="109"/>
        <v>39850</v>
      </c>
    </row>
    <row r="153" spans="1:20" s="16" customFormat="1" ht="48">
      <c r="A153" s="19" t="s">
        <v>187</v>
      </c>
      <c r="B153" s="19" t="s">
        <v>124</v>
      </c>
      <c r="C153" s="19" t="s">
        <v>32</v>
      </c>
      <c r="D153" s="18" t="s">
        <v>126</v>
      </c>
      <c r="E153" s="107">
        <f t="shared" si="113"/>
        <v>464224.68</v>
      </c>
      <c r="F153" s="107">
        <v>464224.68</v>
      </c>
      <c r="G153" s="107"/>
      <c r="H153" s="107"/>
      <c r="I153" s="107">
        <f t="shared" si="114"/>
        <v>725991.42</v>
      </c>
      <c r="J153" s="107">
        <v>725991.42</v>
      </c>
      <c r="K153" s="107">
        <v>0</v>
      </c>
      <c r="L153" s="107">
        <v>0</v>
      </c>
      <c r="M153" s="122">
        <f>I153/E153</f>
        <v>1.5638794128739559</v>
      </c>
      <c r="N153" s="122">
        <f t="shared" si="120"/>
        <v>1.5638794128739559</v>
      </c>
      <c r="O153" s="122"/>
      <c r="P153" s="122"/>
      <c r="Q153" s="111">
        <f t="shared" si="106"/>
        <v>261766.74000000005</v>
      </c>
      <c r="R153" s="111">
        <f t="shared" si="107"/>
        <v>261766.74000000005</v>
      </c>
      <c r="S153" s="111">
        <f t="shared" si="108"/>
        <v>0</v>
      </c>
      <c r="T153" s="111">
        <f t="shared" si="109"/>
        <v>0</v>
      </c>
    </row>
    <row r="154" spans="1:20" s="16" customFormat="1" ht="18.75">
      <c r="A154" s="19" t="s">
        <v>206</v>
      </c>
      <c r="B154" s="19" t="s">
        <v>41</v>
      </c>
      <c r="C154" s="19" t="s">
        <v>37</v>
      </c>
      <c r="D154" s="18" t="s">
        <v>207</v>
      </c>
      <c r="E154" s="107">
        <f t="shared" si="113"/>
        <v>0</v>
      </c>
      <c r="F154" s="107"/>
      <c r="G154" s="107"/>
      <c r="H154" s="107"/>
      <c r="I154" s="107">
        <f t="shared" si="114"/>
        <v>384.2</v>
      </c>
      <c r="J154" s="107">
        <v>384.2</v>
      </c>
      <c r="K154" s="107"/>
      <c r="L154" s="107"/>
      <c r="M154" s="122"/>
      <c r="N154" s="122"/>
      <c r="O154" s="122"/>
      <c r="P154" s="122"/>
      <c r="Q154" s="111">
        <f t="shared" si="106"/>
        <v>384.2</v>
      </c>
      <c r="R154" s="111">
        <f t="shared" si="107"/>
        <v>384.2</v>
      </c>
      <c r="S154" s="111">
        <f t="shared" si="108"/>
        <v>0</v>
      </c>
      <c r="T154" s="111">
        <f t="shared" si="109"/>
        <v>0</v>
      </c>
    </row>
    <row r="155" spans="1:20" s="16" customFormat="1" ht="21.75" customHeight="1">
      <c r="A155" s="19" t="s">
        <v>212</v>
      </c>
      <c r="B155" s="19" t="s">
        <v>211</v>
      </c>
      <c r="C155" s="19" t="s">
        <v>115</v>
      </c>
      <c r="D155" s="18" t="s">
        <v>213</v>
      </c>
      <c r="E155" s="107">
        <f t="shared" si="113"/>
        <v>0</v>
      </c>
      <c r="F155" s="107"/>
      <c r="G155" s="107"/>
      <c r="H155" s="107"/>
      <c r="I155" s="107">
        <f t="shared" si="114"/>
        <v>0</v>
      </c>
      <c r="J155" s="107">
        <v>0</v>
      </c>
      <c r="K155" s="107">
        <v>0</v>
      </c>
      <c r="L155" s="107">
        <v>0</v>
      </c>
      <c r="M155" s="122"/>
      <c r="N155" s="122"/>
      <c r="O155" s="122"/>
      <c r="P155" s="122"/>
      <c r="Q155" s="111">
        <f t="shared" si="106"/>
        <v>0</v>
      </c>
      <c r="R155" s="111">
        <f t="shared" si="107"/>
        <v>0</v>
      </c>
      <c r="S155" s="111">
        <f t="shared" si="108"/>
        <v>0</v>
      </c>
      <c r="T155" s="111">
        <f t="shared" si="109"/>
        <v>0</v>
      </c>
    </row>
    <row r="156" spans="1:20" s="16" customFormat="1" ht="32.25">
      <c r="A156" s="19" t="s">
        <v>294</v>
      </c>
      <c r="B156" s="19" t="s">
        <v>291</v>
      </c>
      <c r="C156" s="19" t="s">
        <v>58</v>
      </c>
      <c r="D156" s="18" t="s">
        <v>258</v>
      </c>
      <c r="E156" s="107">
        <f t="shared" si="113"/>
        <v>0</v>
      </c>
      <c r="F156" s="107"/>
      <c r="G156" s="107"/>
      <c r="H156" s="107"/>
      <c r="I156" s="107">
        <f t="shared" si="114"/>
        <v>0</v>
      </c>
      <c r="J156" s="107"/>
      <c r="K156" s="107">
        <v>0</v>
      </c>
      <c r="L156" s="107">
        <v>0</v>
      </c>
      <c r="M156" s="122"/>
      <c r="N156" s="122"/>
      <c r="O156" s="122"/>
      <c r="P156" s="122"/>
      <c r="Q156" s="111">
        <f t="shared" si="106"/>
        <v>0</v>
      </c>
      <c r="R156" s="111">
        <f t="shared" si="107"/>
        <v>0</v>
      </c>
      <c r="S156" s="111">
        <f t="shared" si="108"/>
        <v>0</v>
      </c>
      <c r="T156" s="111">
        <f t="shared" si="109"/>
        <v>0</v>
      </c>
    </row>
    <row r="157" spans="1:20" s="16" customFormat="1" ht="32.25">
      <c r="A157" s="19" t="s">
        <v>209</v>
      </c>
      <c r="B157" s="19" t="s">
        <v>208</v>
      </c>
      <c r="C157" s="19" t="s">
        <v>58</v>
      </c>
      <c r="D157" s="18" t="s">
        <v>210</v>
      </c>
      <c r="E157" s="107">
        <f t="shared" si="113"/>
        <v>0</v>
      </c>
      <c r="F157" s="107"/>
      <c r="G157" s="107"/>
      <c r="H157" s="107"/>
      <c r="I157" s="107">
        <f t="shared" si="114"/>
        <v>0</v>
      </c>
      <c r="J157" s="107"/>
      <c r="K157" s="107">
        <v>0</v>
      </c>
      <c r="L157" s="107">
        <v>0</v>
      </c>
      <c r="M157" s="122"/>
      <c r="N157" s="122"/>
      <c r="O157" s="122"/>
      <c r="P157" s="122"/>
      <c r="Q157" s="111">
        <f t="shared" si="106"/>
        <v>0</v>
      </c>
      <c r="R157" s="111">
        <f t="shared" si="107"/>
        <v>0</v>
      </c>
      <c r="S157" s="111">
        <f t="shared" si="108"/>
        <v>0</v>
      </c>
      <c r="T157" s="111">
        <f t="shared" si="109"/>
        <v>0</v>
      </c>
    </row>
    <row r="158" spans="1:20" s="16" customFormat="1" ht="63.75">
      <c r="A158" s="19" t="s">
        <v>414</v>
      </c>
      <c r="B158" s="19" t="s">
        <v>415</v>
      </c>
      <c r="C158" s="19" t="s">
        <v>58</v>
      </c>
      <c r="D158" s="18" t="s">
        <v>416</v>
      </c>
      <c r="E158" s="107">
        <f t="shared" si="113"/>
        <v>0</v>
      </c>
      <c r="F158" s="107"/>
      <c r="G158" s="107"/>
      <c r="H158" s="107"/>
      <c r="I158" s="107">
        <f t="shared" si="114"/>
        <v>0</v>
      </c>
      <c r="J158" s="107"/>
      <c r="K158" s="107">
        <v>0</v>
      </c>
      <c r="L158" s="107">
        <v>0</v>
      </c>
      <c r="M158" s="122"/>
      <c r="N158" s="122"/>
      <c r="O158" s="122"/>
      <c r="P158" s="122"/>
      <c r="Q158" s="111">
        <f t="shared" si="106"/>
        <v>0</v>
      </c>
      <c r="R158" s="111">
        <f t="shared" si="107"/>
        <v>0</v>
      </c>
      <c r="S158" s="111">
        <f t="shared" si="108"/>
        <v>0</v>
      </c>
      <c r="T158" s="111">
        <f t="shared" si="109"/>
        <v>0</v>
      </c>
    </row>
    <row r="159" spans="1:20" s="16" customFormat="1" ht="32.25">
      <c r="A159" s="19" t="s">
        <v>420</v>
      </c>
      <c r="B159" s="19" t="s">
        <v>418</v>
      </c>
      <c r="C159" s="19" t="s">
        <v>58</v>
      </c>
      <c r="D159" s="104" t="s">
        <v>419</v>
      </c>
      <c r="E159" s="107">
        <f t="shared" si="113"/>
        <v>0</v>
      </c>
      <c r="F159" s="107"/>
      <c r="G159" s="107"/>
      <c r="H159" s="107"/>
      <c r="I159" s="107">
        <f t="shared" si="114"/>
        <v>39850</v>
      </c>
      <c r="J159" s="107"/>
      <c r="K159" s="107">
        <f>39850</f>
        <v>39850</v>
      </c>
      <c r="L159" s="107">
        <f>39850</f>
        <v>39850</v>
      </c>
      <c r="M159" s="122"/>
      <c r="N159" s="122"/>
      <c r="O159" s="122"/>
      <c r="P159" s="122"/>
      <c r="Q159" s="111">
        <f t="shared" si="106"/>
        <v>39850</v>
      </c>
      <c r="R159" s="111">
        <f t="shared" si="107"/>
        <v>0</v>
      </c>
      <c r="S159" s="111">
        <f t="shared" si="108"/>
        <v>39850</v>
      </c>
      <c r="T159" s="111">
        <f t="shared" si="109"/>
        <v>39850</v>
      </c>
    </row>
    <row r="160" spans="1:20" s="16" customFormat="1" ht="18.75">
      <c r="A160" s="19" t="s">
        <v>436</v>
      </c>
      <c r="B160" s="19" t="s">
        <v>296</v>
      </c>
      <c r="C160" s="19" t="s">
        <v>58</v>
      </c>
      <c r="D160" s="18" t="s">
        <v>298</v>
      </c>
      <c r="E160" s="107">
        <f t="shared" si="113"/>
        <v>0</v>
      </c>
      <c r="F160" s="107"/>
      <c r="G160" s="107"/>
      <c r="H160" s="107"/>
      <c r="I160" s="107">
        <f t="shared" si="114"/>
        <v>1222152.04</v>
      </c>
      <c r="J160" s="107">
        <v>1222152.04</v>
      </c>
      <c r="K160" s="107">
        <v>0</v>
      </c>
      <c r="L160" s="107">
        <v>0</v>
      </c>
      <c r="M160" s="122"/>
      <c r="N160" s="122"/>
      <c r="O160" s="122"/>
      <c r="P160" s="122"/>
      <c r="Q160" s="111">
        <f t="shared" si="106"/>
        <v>1222152.04</v>
      </c>
      <c r="R160" s="111">
        <f t="shared" si="107"/>
        <v>1222152.04</v>
      </c>
      <c r="S160" s="111">
        <f t="shared" si="108"/>
        <v>0</v>
      </c>
      <c r="T160" s="111">
        <f t="shared" si="109"/>
        <v>0</v>
      </c>
    </row>
    <row r="161" spans="1:20" s="95" customFormat="1" ht="32.25">
      <c r="A161" s="25" t="s">
        <v>188</v>
      </c>
      <c r="B161" s="25"/>
      <c r="C161" s="25"/>
      <c r="D161" s="26" t="s">
        <v>16</v>
      </c>
      <c r="E161" s="106">
        <f>E162</f>
        <v>18759061.829999998</v>
      </c>
      <c r="F161" s="106">
        <f t="shared" ref="F161:L161" si="121">F162</f>
        <v>14777061.83</v>
      </c>
      <c r="G161" s="106">
        <f t="shared" si="121"/>
        <v>3982000</v>
      </c>
      <c r="H161" s="106">
        <f t="shared" si="121"/>
        <v>3982000</v>
      </c>
      <c r="I161" s="106">
        <f t="shared" si="121"/>
        <v>12953844.6</v>
      </c>
      <c r="J161" s="106">
        <f t="shared" si="121"/>
        <v>12942846.6</v>
      </c>
      <c r="K161" s="106">
        <f t="shared" si="121"/>
        <v>10998</v>
      </c>
      <c r="L161" s="106">
        <f t="shared" si="121"/>
        <v>10998</v>
      </c>
      <c r="M161" s="121">
        <f>I161/E161</f>
        <v>0.69053797665317473</v>
      </c>
      <c r="N161" s="121">
        <f t="shared" ref="N161" si="122">J161/F161</f>
        <v>0.87587415880765784</v>
      </c>
      <c r="O161" s="121">
        <f t="shared" ref="O161" si="123">K161/G161</f>
        <v>2.7619286790557507E-3</v>
      </c>
      <c r="P161" s="121">
        <f t="shared" ref="P161" si="124">L161/H161</f>
        <v>2.7619286790557507E-3</v>
      </c>
      <c r="Q161" s="126">
        <f t="shared" si="106"/>
        <v>-5805217.2299999986</v>
      </c>
      <c r="R161" s="126">
        <f t="shared" si="107"/>
        <v>-1834215.2300000004</v>
      </c>
      <c r="S161" s="126">
        <f t="shared" si="108"/>
        <v>-3971002</v>
      </c>
      <c r="T161" s="126">
        <f t="shared" si="109"/>
        <v>-3971002</v>
      </c>
    </row>
    <row r="162" spans="1:20" s="118" customFormat="1" ht="32.25">
      <c r="A162" s="25" t="s">
        <v>189</v>
      </c>
      <c r="B162" s="25"/>
      <c r="C162" s="25"/>
      <c r="D162" s="26" t="s">
        <v>16</v>
      </c>
      <c r="E162" s="106">
        <f t="shared" si="113"/>
        <v>18759061.829999998</v>
      </c>
      <c r="F162" s="106">
        <f>F163+F164+F165+F166+F167+F168</f>
        <v>14777061.83</v>
      </c>
      <c r="G162" s="106">
        <f>G163+G164+G165+G166+G167+G168</f>
        <v>3982000</v>
      </c>
      <c r="H162" s="106">
        <f>H163+H164+H165+H166+H167+H168</f>
        <v>3982000</v>
      </c>
      <c r="I162" s="106">
        <f t="shared" si="114"/>
        <v>12953844.6</v>
      </c>
      <c r="J162" s="106">
        <f t="shared" ref="J162" si="125">J163+J164+J165+J166+J167</f>
        <v>12942846.6</v>
      </c>
      <c r="K162" s="106">
        <f t="shared" ref="K162" si="126">K163+K164+K165+K166+K167</f>
        <v>10998</v>
      </c>
      <c r="L162" s="106">
        <f t="shared" ref="L162" si="127">L163+L164+L165+L166+L167</f>
        <v>10998</v>
      </c>
      <c r="M162" s="121">
        <f>I162/E162</f>
        <v>0.69053797665317473</v>
      </c>
      <c r="N162" s="121">
        <f t="shared" ref="N162:N163" si="128">J162/F162</f>
        <v>0.87587415880765784</v>
      </c>
      <c r="O162" s="121">
        <f t="shared" ref="O162" si="129">K162/G162</f>
        <v>2.7619286790557507E-3</v>
      </c>
      <c r="P162" s="121">
        <f t="shared" ref="P162" si="130">L162/H162</f>
        <v>2.7619286790557507E-3</v>
      </c>
      <c r="Q162" s="126">
        <f t="shared" si="106"/>
        <v>-5805217.2299999986</v>
      </c>
      <c r="R162" s="126">
        <f t="shared" si="107"/>
        <v>-1834215.2300000004</v>
      </c>
      <c r="S162" s="126">
        <f t="shared" si="108"/>
        <v>-3971002</v>
      </c>
      <c r="T162" s="126">
        <f t="shared" si="109"/>
        <v>-3971002</v>
      </c>
    </row>
    <row r="163" spans="1:20" s="16" customFormat="1" ht="48">
      <c r="A163" s="19" t="s">
        <v>190</v>
      </c>
      <c r="B163" s="19" t="s">
        <v>124</v>
      </c>
      <c r="C163" s="19" t="s">
        <v>32</v>
      </c>
      <c r="D163" s="18" t="s">
        <v>126</v>
      </c>
      <c r="E163" s="107">
        <f t="shared" si="113"/>
        <v>794961.83</v>
      </c>
      <c r="F163" s="107">
        <v>794961.83</v>
      </c>
      <c r="G163" s="107"/>
      <c r="H163" s="107"/>
      <c r="I163" s="107">
        <f t="shared" si="114"/>
        <v>1017444.6</v>
      </c>
      <c r="J163" s="107">
        <v>1006446.6</v>
      </c>
      <c r="K163" s="107">
        <v>10998</v>
      </c>
      <c r="L163" s="107">
        <v>10998</v>
      </c>
      <c r="M163" s="122">
        <f>I163/E163</f>
        <v>1.2798659779677724</v>
      </c>
      <c r="N163" s="122">
        <f t="shared" si="128"/>
        <v>1.266031351467529</v>
      </c>
      <c r="O163" s="122"/>
      <c r="P163" s="122"/>
      <c r="Q163" s="111">
        <f t="shared" si="106"/>
        <v>222482.77000000002</v>
      </c>
      <c r="R163" s="111">
        <f t="shared" si="107"/>
        <v>211484.77000000002</v>
      </c>
      <c r="S163" s="111">
        <f t="shared" si="108"/>
        <v>10998</v>
      </c>
      <c r="T163" s="111">
        <f t="shared" si="109"/>
        <v>10998</v>
      </c>
    </row>
    <row r="164" spans="1:20" s="16" customFormat="1" ht="18.75">
      <c r="A164" s="19" t="s">
        <v>214</v>
      </c>
      <c r="B164" s="19" t="s">
        <v>41</v>
      </c>
      <c r="C164" s="19" t="s">
        <v>37</v>
      </c>
      <c r="D164" s="18" t="s">
        <v>207</v>
      </c>
      <c r="E164" s="107">
        <f t="shared" si="113"/>
        <v>6300</v>
      </c>
      <c r="F164" s="107">
        <v>6300</v>
      </c>
      <c r="G164" s="107"/>
      <c r="H164" s="107"/>
      <c r="I164" s="107">
        <f t="shared" si="114"/>
        <v>8100</v>
      </c>
      <c r="J164" s="107">
        <v>8100</v>
      </c>
      <c r="K164" s="107">
        <v>0</v>
      </c>
      <c r="L164" s="107">
        <v>0</v>
      </c>
      <c r="M164" s="122">
        <f>I164/E164</f>
        <v>1.2857142857142858</v>
      </c>
      <c r="N164" s="122">
        <f t="shared" ref="N164" si="131">J164/F164</f>
        <v>1.2857142857142858</v>
      </c>
      <c r="O164" s="122"/>
      <c r="P164" s="122"/>
      <c r="Q164" s="111">
        <f t="shared" si="106"/>
        <v>1800</v>
      </c>
      <c r="R164" s="111">
        <f t="shared" si="107"/>
        <v>1800</v>
      </c>
      <c r="S164" s="111">
        <f t="shared" si="108"/>
        <v>0</v>
      </c>
      <c r="T164" s="111">
        <f t="shared" si="109"/>
        <v>0</v>
      </c>
    </row>
    <row r="165" spans="1:20" s="16" customFormat="1" ht="18.75">
      <c r="A165" s="19" t="s">
        <v>218</v>
      </c>
      <c r="B165" s="19" t="s">
        <v>217</v>
      </c>
      <c r="C165" s="19" t="s">
        <v>37</v>
      </c>
      <c r="D165" s="18" t="s">
        <v>12</v>
      </c>
      <c r="E165" s="107">
        <f t="shared" si="113"/>
        <v>0</v>
      </c>
      <c r="F165" s="107"/>
      <c r="G165" s="107"/>
      <c r="H165" s="107"/>
      <c r="I165" s="107">
        <f t="shared" si="114"/>
        <v>0</v>
      </c>
      <c r="J165" s="107">
        <v>0</v>
      </c>
      <c r="K165" s="107"/>
      <c r="L165" s="107"/>
      <c r="M165" s="122"/>
      <c r="N165" s="122"/>
      <c r="O165" s="122"/>
      <c r="P165" s="122"/>
      <c r="Q165" s="111">
        <f t="shared" si="106"/>
        <v>0</v>
      </c>
      <c r="R165" s="111">
        <f t="shared" si="107"/>
        <v>0</v>
      </c>
      <c r="S165" s="111">
        <f t="shared" si="108"/>
        <v>0</v>
      </c>
      <c r="T165" s="111">
        <f t="shared" si="109"/>
        <v>0</v>
      </c>
    </row>
    <row r="166" spans="1:20" s="16" customFormat="1" ht="18.75">
      <c r="A166" s="19" t="s">
        <v>216</v>
      </c>
      <c r="B166" s="19" t="s">
        <v>215</v>
      </c>
      <c r="C166" s="19" t="s">
        <v>41</v>
      </c>
      <c r="D166" s="18" t="s">
        <v>13</v>
      </c>
      <c r="E166" s="107">
        <f t="shared" si="113"/>
        <v>11571000</v>
      </c>
      <c r="F166" s="107">
        <v>11571000</v>
      </c>
      <c r="G166" s="107"/>
      <c r="H166" s="107"/>
      <c r="I166" s="107">
        <f t="shared" si="114"/>
        <v>11928300</v>
      </c>
      <c r="J166" s="107">
        <v>11928300</v>
      </c>
      <c r="K166" s="107"/>
      <c r="L166" s="107"/>
      <c r="M166" s="122">
        <f t="shared" ref="M166:M167" si="132">I166/E166</f>
        <v>1.0308789214415348</v>
      </c>
      <c r="N166" s="122">
        <f t="shared" ref="N166" si="133">J166/F166</f>
        <v>1.0308789214415348</v>
      </c>
      <c r="O166" s="122"/>
      <c r="P166" s="122"/>
      <c r="Q166" s="111">
        <f t="shared" si="106"/>
        <v>357300</v>
      </c>
      <c r="R166" s="111">
        <f t="shared" si="107"/>
        <v>357300</v>
      </c>
      <c r="S166" s="111">
        <f t="shared" si="108"/>
        <v>0</v>
      </c>
      <c r="T166" s="111">
        <f t="shared" si="109"/>
        <v>0</v>
      </c>
    </row>
    <row r="167" spans="1:20" s="16" customFormat="1" ht="18.75">
      <c r="A167" s="19" t="s">
        <v>383</v>
      </c>
      <c r="B167" s="19" t="s">
        <v>381</v>
      </c>
      <c r="C167" s="19" t="s">
        <v>41</v>
      </c>
      <c r="D167" s="131" t="s">
        <v>382</v>
      </c>
      <c r="E167" s="107">
        <f t="shared" si="113"/>
        <v>328000</v>
      </c>
      <c r="F167" s="107">
        <v>15000</v>
      </c>
      <c r="G167" s="107">
        <v>313000</v>
      </c>
      <c r="H167" s="107">
        <v>313000</v>
      </c>
      <c r="I167" s="107">
        <f t="shared" si="114"/>
        <v>0</v>
      </c>
      <c r="J167" s="107"/>
      <c r="K167" s="107">
        <v>0</v>
      </c>
      <c r="L167" s="107">
        <v>0</v>
      </c>
      <c r="M167" s="122">
        <f t="shared" si="132"/>
        <v>0</v>
      </c>
      <c r="N167" s="122"/>
      <c r="O167" s="122">
        <f t="shared" ref="O167:O169" si="134">K167/G167</f>
        <v>0</v>
      </c>
      <c r="P167" s="122">
        <f t="shared" ref="P167:P169" si="135">L167/H167</f>
        <v>0</v>
      </c>
      <c r="Q167" s="111">
        <f t="shared" si="106"/>
        <v>-328000</v>
      </c>
      <c r="R167" s="111">
        <f t="shared" si="107"/>
        <v>-15000</v>
      </c>
      <c r="S167" s="111">
        <f t="shared" si="108"/>
        <v>-313000</v>
      </c>
      <c r="T167" s="111">
        <f t="shared" si="109"/>
        <v>-313000</v>
      </c>
    </row>
    <row r="168" spans="1:20" s="16" customFormat="1" ht="48">
      <c r="A168" s="19" t="s">
        <v>347</v>
      </c>
      <c r="B168" s="19" t="s">
        <v>341</v>
      </c>
      <c r="C168" s="134" t="s">
        <v>41</v>
      </c>
      <c r="D168" s="104" t="s">
        <v>342</v>
      </c>
      <c r="E168" s="107">
        <f t="shared" si="113"/>
        <v>6058800</v>
      </c>
      <c r="F168" s="107">
        <v>2389800</v>
      </c>
      <c r="G168" s="107">
        <v>3669000</v>
      </c>
      <c r="H168" s="107">
        <v>3669000</v>
      </c>
      <c r="I168" s="107"/>
      <c r="J168" s="107"/>
      <c r="K168" s="107"/>
      <c r="L168" s="107"/>
      <c r="M168" s="122"/>
      <c r="N168" s="122"/>
      <c r="O168" s="122"/>
      <c r="P168" s="122"/>
      <c r="Q168" s="111"/>
      <c r="R168" s="111">
        <f t="shared" si="107"/>
        <v>-2389800</v>
      </c>
      <c r="S168" s="111"/>
      <c r="T168" s="111"/>
    </row>
    <row r="169" spans="1:20" s="118" customFormat="1" ht="18.75">
      <c r="A169" s="25"/>
      <c r="B169" s="25"/>
      <c r="C169" s="25"/>
      <c r="D169" s="40" t="s">
        <v>11</v>
      </c>
      <c r="E169" s="106">
        <f t="shared" si="113"/>
        <v>194986626.57000002</v>
      </c>
      <c r="F169" s="106">
        <f>F9+F42+F67+F99+F110+F120+F141+F151+F161</f>
        <v>158716502.20000002</v>
      </c>
      <c r="G169" s="106">
        <f>G9+G42+G67+G99+G110+G120+G141+G151+G161</f>
        <v>36270124.369999997</v>
      </c>
      <c r="H169" s="106">
        <f>H9+H42+H67+H99+H110+H120+H141+H151+H161</f>
        <v>21258797.170000002</v>
      </c>
      <c r="I169" s="106">
        <f t="shared" si="114"/>
        <v>195475167.04999998</v>
      </c>
      <c r="J169" s="106">
        <f>J9+J42+J67+J99+J110+J120+J141+J151+J161</f>
        <v>170684891.53999999</v>
      </c>
      <c r="K169" s="106">
        <f>K9+K42+K67+K99+K110+K120+K141+K151+K161</f>
        <v>24790275.510000002</v>
      </c>
      <c r="L169" s="106">
        <f>L9+L42+L67+L99+L110+L120+L141+L151+L161</f>
        <v>18938005.170000002</v>
      </c>
      <c r="M169" s="121">
        <f>I169/E169</f>
        <v>1.0025055076268248</v>
      </c>
      <c r="N169" s="121">
        <f t="shared" ref="N169" si="136">J169/F169</f>
        <v>1.0754073405985125</v>
      </c>
      <c r="O169" s="121">
        <f t="shared" si="134"/>
        <v>0.68349022620128397</v>
      </c>
      <c r="P169" s="121">
        <f t="shared" si="135"/>
        <v>0.89083145290670274</v>
      </c>
      <c r="Q169" s="126">
        <f t="shared" si="106"/>
        <v>488540.47999995947</v>
      </c>
      <c r="R169" s="126">
        <f t="shared" si="107"/>
        <v>11968389.339999974</v>
      </c>
      <c r="S169" s="126">
        <f t="shared" si="108"/>
        <v>-11479848.859999996</v>
      </c>
      <c r="T169" s="126">
        <f t="shared" si="109"/>
        <v>-2320792</v>
      </c>
    </row>
    <row r="170" spans="1:20" s="16" customFormat="1" ht="15.75">
      <c r="A170" s="42"/>
      <c r="B170" s="42"/>
      <c r="C170" s="42"/>
      <c r="D170" s="43"/>
      <c r="E170" s="43"/>
      <c r="F170" s="43"/>
      <c r="G170" s="43"/>
      <c r="H170" s="43"/>
      <c r="I170" s="43"/>
      <c r="K170" s="44"/>
      <c r="L170" s="44"/>
      <c r="N170" s="44"/>
      <c r="O170" s="44"/>
      <c r="P170" s="44"/>
    </row>
    <row r="171" spans="1:20" s="22" customFormat="1" ht="18.75">
      <c r="D171" s="22" t="s">
        <v>448</v>
      </c>
      <c r="E171" s="64"/>
      <c r="F171" s="64"/>
      <c r="G171" s="132"/>
      <c r="H171" s="127"/>
      <c r="J171" s="128"/>
      <c r="K171" s="129" t="s">
        <v>449</v>
      </c>
      <c r="L171" s="130"/>
      <c r="M171" s="127"/>
      <c r="N171" s="129"/>
      <c r="O171" s="129"/>
      <c r="P171" s="129"/>
    </row>
    <row r="172" spans="1:20" s="29" customFormat="1" ht="15.75">
      <c r="A172" s="42"/>
      <c r="B172" s="42"/>
      <c r="C172" s="42"/>
      <c r="E172" s="45"/>
      <c r="F172" s="45"/>
      <c r="G172" s="120"/>
      <c r="J172" s="120"/>
      <c r="K172" s="119"/>
    </row>
    <row r="176" spans="1:20">
      <c r="H176" s="133"/>
    </row>
    <row r="177" spans="8:8">
      <c r="H177" s="133"/>
    </row>
    <row r="178" spans="8:8">
      <c r="H178" s="133"/>
    </row>
  </sheetData>
  <mergeCells count="29">
    <mergeCell ref="A2:T2"/>
    <mergeCell ref="Q3:T3"/>
    <mergeCell ref="Q4:Q7"/>
    <mergeCell ref="R4:T4"/>
    <mergeCell ref="R5:R7"/>
    <mergeCell ref="S5:T5"/>
    <mergeCell ref="S6:S7"/>
    <mergeCell ref="E3:H3"/>
    <mergeCell ref="E4:E7"/>
    <mergeCell ref="F4:H4"/>
    <mergeCell ref="M3:P3"/>
    <mergeCell ref="M4:M7"/>
    <mergeCell ref="N4:P4"/>
    <mergeCell ref="G6:G7"/>
    <mergeCell ref="O6:O7"/>
    <mergeCell ref="G5:H5"/>
    <mergeCell ref="A3:A7"/>
    <mergeCell ref="B3:B7"/>
    <mergeCell ref="C3:C7"/>
    <mergeCell ref="D3:D7"/>
    <mergeCell ref="F5:F7"/>
    <mergeCell ref="K5:L5"/>
    <mergeCell ref="N5:N7"/>
    <mergeCell ref="O5:P5"/>
    <mergeCell ref="K6:K7"/>
    <mergeCell ref="I3:L3"/>
    <mergeCell ref="I4:I7"/>
    <mergeCell ref="J4:L4"/>
    <mergeCell ref="J5:J7"/>
  </mergeCells>
  <pageMargins left="0.15748031496062992" right="0.15748031496062992" top="0.15748031496062992" bottom="0.11811023622047245" header="0.15748031496062992" footer="0.11811023622047245"/>
  <pageSetup paperSize="9" scale="45" fitToHeight="7" orientation="landscape" r:id="rId1"/>
  <rowBreaks count="2" manualBreakCount="2">
    <brk id="97" max="19" man="1"/>
    <brk id="130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початковий</vt:lpstr>
      <vt:lpstr>зміни лютий</vt:lpstr>
      <vt:lpstr>зі змінами 16.02.18</vt:lpstr>
      <vt:lpstr>2019!</vt:lpstr>
      <vt:lpstr>'2019!'!Заголовки_для_печати</vt:lpstr>
      <vt:lpstr>'зміни лютий'!Заголовки_для_печати</vt:lpstr>
      <vt:lpstr>'2019!'!Область_печати</vt:lpstr>
      <vt:lpstr>'зміни лютий'!Область_печати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2019-04-11T13:14:23Z</cp:lastPrinted>
  <dcterms:created xsi:type="dcterms:W3CDTF">2012-12-15T07:44:03Z</dcterms:created>
  <dcterms:modified xsi:type="dcterms:W3CDTF">2019-04-11T13:27:10Z</dcterms:modified>
</cp:coreProperties>
</file>