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ком 12.04.19\"/>
    </mc:Choice>
  </mc:AlternateContent>
  <bookViews>
    <workbookView xWindow="120" yWindow="150" windowWidth="15570" windowHeight="11580" firstSheet="3" activeTab="3"/>
  </bookViews>
  <sheets>
    <sheet name="початковий" sheetId="5" r:id="rId1"/>
    <sheet name="зміни лютий" sheetId="4" r:id="rId2"/>
    <sheet name="зі змінами 16.02.18" sheetId="7" r:id="rId3"/>
    <sheet name="2019!" sheetId="10" r:id="rId4"/>
  </sheets>
  <externalReferences>
    <externalReference r:id="rId5"/>
  </externalReferences>
  <definedNames>
    <definedName name="_xlnm.Print_Titles" localSheetId="3">'2019!'!$7:$11</definedName>
    <definedName name="_xlnm.Print_Titles" localSheetId="1">'зміни лютий'!$6:$10</definedName>
    <definedName name="_xlnm.Print_Area" localSheetId="3">'2019!'!$A$1:$P$172</definedName>
    <definedName name="_xlnm.Print_Area" localSheetId="1">'зміни лютий'!$A$1:$O$172</definedName>
  </definedNames>
  <calcPr calcId="162913"/>
</workbook>
</file>

<file path=xl/calcChain.xml><?xml version="1.0" encoding="utf-8"?>
<calcChain xmlns="http://schemas.openxmlformats.org/spreadsheetml/2006/main">
  <c r="H164" i="10" l="1"/>
  <c r="G164" i="10"/>
  <c r="H146" i="10"/>
  <c r="G146" i="10"/>
  <c r="H140" i="10"/>
  <c r="G140" i="10"/>
  <c r="H133" i="10"/>
  <c r="G133" i="10"/>
  <c r="H126" i="10"/>
  <c r="G126" i="10"/>
  <c r="F91" i="10"/>
  <c r="F84" i="10"/>
  <c r="F83" i="10"/>
  <c r="F81" i="10"/>
  <c r="F79" i="10"/>
  <c r="N58" i="10"/>
  <c r="I58" i="10"/>
  <c r="E58" i="10"/>
  <c r="I52" i="10"/>
  <c r="E52" i="10"/>
  <c r="N52" i="10"/>
  <c r="M52" i="10" l="1"/>
  <c r="M58" i="10"/>
  <c r="N63" i="10"/>
  <c r="I63" i="10"/>
  <c r="M63" i="10" s="1"/>
  <c r="E63" i="10"/>
  <c r="F62" i="10"/>
  <c r="F55" i="10"/>
  <c r="H48" i="10"/>
  <c r="P48" i="10" s="1"/>
  <c r="G48" i="10"/>
  <c r="F48" i="10"/>
  <c r="I25" i="10"/>
  <c r="E25" i="10"/>
  <c r="N25" i="10"/>
  <c r="F21" i="10"/>
  <c r="K59" i="10"/>
  <c r="O59" i="10" s="1"/>
  <c r="K48" i="10"/>
  <c r="O48" i="10" s="1"/>
  <c r="K47" i="10"/>
  <c r="K26" i="10"/>
  <c r="K21" i="10"/>
  <c r="O21" i="10" s="1"/>
  <c r="K15" i="10"/>
  <c r="K106" i="10"/>
  <c r="O106" i="10" s="1"/>
  <c r="K105" i="10"/>
  <c r="K104" i="10"/>
  <c r="K103" i="10"/>
  <c r="O103" i="10" s="1"/>
  <c r="L159" i="10"/>
  <c r="P159" i="10" s="1"/>
  <c r="K159" i="10"/>
  <c r="L146" i="10"/>
  <c r="P146" i="10" s="1"/>
  <c r="K146" i="10"/>
  <c r="O146" i="10" s="1"/>
  <c r="L133" i="10"/>
  <c r="P133" i="10" s="1"/>
  <c r="K133" i="10"/>
  <c r="O133" i="10" s="1"/>
  <c r="L126" i="10"/>
  <c r="K126" i="10"/>
  <c r="O126" i="10" s="1"/>
  <c r="J99" i="10"/>
  <c r="N99" i="10" s="1"/>
  <c r="O167" i="10"/>
  <c r="P167" i="10"/>
  <c r="N165" i="10"/>
  <c r="N166" i="10"/>
  <c r="N164" i="10"/>
  <c r="O164" i="10"/>
  <c r="P164" i="10"/>
  <c r="N163" i="10"/>
  <c r="O163" i="10"/>
  <c r="P163" i="10"/>
  <c r="N160" i="10"/>
  <c r="O156" i="10"/>
  <c r="P156" i="10"/>
  <c r="O157" i="10"/>
  <c r="P157" i="10"/>
  <c r="O158" i="10"/>
  <c r="P158" i="10"/>
  <c r="O159" i="10"/>
  <c r="O160" i="10"/>
  <c r="P160" i="10"/>
  <c r="O155" i="10"/>
  <c r="P155" i="10"/>
  <c r="N154" i="10"/>
  <c r="N155" i="10"/>
  <c r="N153" i="10"/>
  <c r="O153" i="10"/>
  <c r="P153" i="10"/>
  <c r="O147" i="10"/>
  <c r="P147" i="10"/>
  <c r="O148" i="10"/>
  <c r="P148" i="10"/>
  <c r="O149" i="10"/>
  <c r="P149" i="10"/>
  <c r="O150" i="10"/>
  <c r="P150" i="10"/>
  <c r="P145" i="10"/>
  <c r="O145" i="10"/>
  <c r="N144" i="10"/>
  <c r="O144" i="10"/>
  <c r="P144" i="10"/>
  <c r="O138" i="10"/>
  <c r="P138" i="10"/>
  <c r="O139" i="10"/>
  <c r="P139" i="10"/>
  <c r="O140" i="10"/>
  <c r="P140" i="10"/>
  <c r="P137" i="10"/>
  <c r="O137" i="10"/>
  <c r="P126" i="10"/>
  <c r="O127" i="10"/>
  <c r="P127" i="10"/>
  <c r="O128" i="10"/>
  <c r="P128" i="10"/>
  <c r="O129" i="10"/>
  <c r="P129" i="10"/>
  <c r="O130" i="10"/>
  <c r="P130" i="10"/>
  <c r="O131" i="10"/>
  <c r="P131" i="10"/>
  <c r="O132" i="10"/>
  <c r="P132" i="10"/>
  <c r="O134" i="10"/>
  <c r="P134" i="10"/>
  <c r="N124" i="10"/>
  <c r="N125" i="10"/>
  <c r="N126" i="10"/>
  <c r="N127" i="10"/>
  <c r="N128" i="10"/>
  <c r="N129" i="10"/>
  <c r="N130" i="10"/>
  <c r="N132" i="10"/>
  <c r="N134" i="10"/>
  <c r="N136" i="10"/>
  <c r="N123" i="10"/>
  <c r="O123" i="10"/>
  <c r="P123" i="10"/>
  <c r="N114" i="10"/>
  <c r="N115" i="10"/>
  <c r="N116" i="10"/>
  <c r="N117" i="10"/>
  <c r="N118" i="10"/>
  <c r="N119" i="10"/>
  <c r="N120" i="10"/>
  <c r="N113" i="10"/>
  <c r="O113" i="10"/>
  <c r="P113" i="10"/>
  <c r="P110" i="10"/>
  <c r="O110" i="10"/>
  <c r="P109" i="10"/>
  <c r="O109" i="10"/>
  <c r="O104" i="10"/>
  <c r="P104" i="10"/>
  <c r="O105" i="10"/>
  <c r="P105" i="10"/>
  <c r="P106" i="10"/>
  <c r="N103" i="10"/>
  <c r="N104" i="10"/>
  <c r="N105" i="10"/>
  <c r="N106" i="10"/>
  <c r="N107" i="10"/>
  <c r="N108" i="10"/>
  <c r="N102" i="10"/>
  <c r="O94" i="10"/>
  <c r="P94" i="10"/>
  <c r="O93" i="10"/>
  <c r="N72" i="10"/>
  <c r="N73" i="10"/>
  <c r="N74" i="10"/>
  <c r="N75" i="10"/>
  <c r="N76" i="10"/>
  <c r="N77" i="10"/>
  <c r="N78" i="10"/>
  <c r="N79" i="10"/>
  <c r="N80" i="10"/>
  <c r="N81" i="10"/>
  <c r="N82" i="10"/>
  <c r="N83" i="10"/>
  <c r="N84" i="10"/>
  <c r="N85" i="10"/>
  <c r="N86" i="10"/>
  <c r="N87" i="10"/>
  <c r="N88" i="10"/>
  <c r="N89" i="10"/>
  <c r="N90" i="10"/>
  <c r="N91" i="10"/>
  <c r="N92" i="10"/>
  <c r="N93" i="10"/>
  <c r="N94" i="10"/>
  <c r="N95" i="10"/>
  <c r="N96" i="10"/>
  <c r="N97" i="10"/>
  <c r="N98" i="10"/>
  <c r="N71" i="10"/>
  <c r="O71" i="10"/>
  <c r="P71" i="10"/>
  <c r="O67" i="10"/>
  <c r="P67" i="10"/>
  <c r="O62" i="10"/>
  <c r="N60" i="10"/>
  <c r="N61" i="10"/>
  <c r="N62" i="10"/>
  <c r="N64" i="10"/>
  <c r="N65" i="10"/>
  <c r="N66" i="10"/>
  <c r="N67" i="10"/>
  <c r="N59" i="10"/>
  <c r="N57" i="10"/>
  <c r="N55" i="10"/>
  <c r="O55" i="10"/>
  <c r="P55" i="10"/>
  <c r="N54" i="10"/>
  <c r="N53" i="10"/>
  <c r="N51" i="10"/>
  <c r="N50" i="10"/>
  <c r="P47" i="10"/>
  <c r="O47" i="10"/>
  <c r="N47" i="10"/>
  <c r="N48" i="10"/>
  <c r="N46" i="10"/>
  <c r="O43" i="10"/>
  <c r="O40" i="10"/>
  <c r="P40" i="10"/>
  <c r="N38" i="10"/>
  <c r="N39" i="10"/>
  <c r="N40" i="10"/>
  <c r="N41" i="10"/>
  <c r="N42" i="10"/>
  <c r="N37" i="10"/>
  <c r="N35" i="10"/>
  <c r="N36" i="10"/>
  <c r="N34" i="10"/>
  <c r="O34" i="10"/>
  <c r="P34" i="10"/>
  <c r="N28" i="10"/>
  <c r="N29" i="10"/>
  <c r="N30" i="10"/>
  <c r="N31" i="10"/>
  <c r="N32" i="10"/>
  <c r="N27" i="10"/>
  <c r="N26" i="10"/>
  <c r="O26" i="10"/>
  <c r="P26" i="10"/>
  <c r="N23" i="10"/>
  <c r="N24" i="10"/>
  <c r="N22" i="10"/>
  <c r="N21" i="10"/>
  <c r="P21" i="10"/>
  <c r="N20" i="10"/>
  <c r="N17" i="10"/>
  <c r="N18" i="10"/>
  <c r="N19" i="10"/>
  <c r="N16" i="10"/>
  <c r="O16" i="10"/>
  <c r="N15" i="10"/>
  <c r="O15" i="10"/>
  <c r="P15" i="10"/>
  <c r="J138" i="10"/>
  <c r="N138" i="10" s="1"/>
  <c r="J133" i="10"/>
  <c r="N133" i="10" s="1"/>
  <c r="M25" i="10" l="1"/>
  <c r="K162" i="10"/>
  <c r="L162" i="10"/>
  <c r="J162" i="10"/>
  <c r="G162" i="10"/>
  <c r="G161" i="10" s="1"/>
  <c r="H162" i="10"/>
  <c r="H161" i="10" s="1"/>
  <c r="F162" i="10"/>
  <c r="F161" i="10" s="1"/>
  <c r="K152" i="10"/>
  <c r="L152" i="10"/>
  <c r="J152" i="10"/>
  <c r="G152" i="10"/>
  <c r="G151" i="10" s="1"/>
  <c r="H152" i="10"/>
  <c r="H151" i="10" s="1"/>
  <c r="F152" i="10"/>
  <c r="F151" i="10" s="1"/>
  <c r="K143" i="10"/>
  <c r="L143" i="10"/>
  <c r="J143" i="10"/>
  <c r="G143" i="10"/>
  <c r="G142" i="10" s="1"/>
  <c r="H143" i="10"/>
  <c r="H142" i="10" s="1"/>
  <c r="F143" i="10"/>
  <c r="F142" i="10" s="1"/>
  <c r="K122" i="10"/>
  <c r="L122" i="10"/>
  <c r="J122" i="10"/>
  <c r="G122" i="10"/>
  <c r="H122" i="10"/>
  <c r="H121" i="10" s="1"/>
  <c r="F122" i="10"/>
  <c r="F121" i="10" s="1"/>
  <c r="K112" i="10"/>
  <c r="O112" i="10" s="1"/>
  <c r="L112" i="10"/>
  <c r="J112" i="10"/>
  <c r="G112" i="10"/>
  <c r="G111" i="10" s="1"/>
  <c r="H112" i="10"/>
  <c r="H111" i="10" s="1"/>
  <c r="F112" i="10"/>
  <c r="F111" i="10" s="1"/>
  <c r="K101" i="10"/>
  <c r="L101" i="10"/>
  <c r="J101" i="10"/>
  <c r="G101" i="10"/>
  <c r="G100" i="10" s="1"/>
  <c r="H101" i="10"/>
  <c r="F101" i="10"/>
  <c r="F100" i="10"/>
  <c r="K70" i="10"/>
  <c r="L70" i="10"/>
  <c r="J70" i="10"/>
  <c r="G70" i="10"/>
  <c r="G69" i="10" s="1"/>
  <c r="H70" i="10"/>
  <c r="H69" i="10" s="1"/>
  <c r="F70" i="10"/>
  <c r="F69" i="10" s="1"/>
  <c r="K45" i="10"/>
  <c r="L45" i="10"/>
  <c r="J45" i="10"/>
  <c r="G45" i="10"/>
  <c r="H45" i="10"/>
  <c r="H44" i="10" s="1"/>
  <c r="F45" i="10"/>
  <c r="F44" i="10" s="1"/>
  <c r="K14" i="10"/>
  <c r="L14" i="10"/>
  <c r="J14" i="10"/>
  <c r="K33" i="10"/>
  <c r="L33" i="10"/>
  <c r="J33" i="10"/>
  <c r="G33" i="10"/>
  <c r="H33" i="10"/>
  <c r="F33" i="10"/>
  <c r="I19" i="10"/>
  <c r="I20" i="10"/>
  <c r="I21" i="10"/>
  <c r="I22" i="10"/>
  <c r="I23" i="10"/>
  <c r="I24" i="10"/>
  <c r="I26" i="10"/>
  <c r="I27" i="10"/>
  <c r="I28" i="10"/>
  <c r="I29" i="10"/>
  <c r="I30" i="10"/>
  <c r="I31" i="10"/>
  <c r="I32" i="10"/>
  <c r="I34" i="10"/>
  <c r="I35" i="10"/>
  <c r="I36" i="10"/>
  <c r="I37" i="10"/>
  <c r="I38" i="10"/>
  <c r="I39" i="10"/>
  <c r="I40" i="10"/>
  <c r="I41" i="10"/>
  <c r="I42" i="10"/>
  <c r="I43" i="10"/>
  <c r="I46" i="10"/>
  <c r="I47" i="10"/>
  <c r="I48" i="10"/>
  <c r="I50" i="10"/>
  <c r="I51" i="10"/>
  <c r="I53" i="10"/>
  <c r="I54" i="10"/>
  <c r="I55" i="10"/>
  <c r="I57" i="10"/>
  <c r="I59" i="10"/>
  <c r="I60" i="10"/>
  <c r="I61" i="10"/>
  <c r="I62" i="10"/>
  <c r="I64" i="10"/>
  <c r="I65" i="10"/>
  <c r="I66" i="10"/>
  <c r="I67" i="10"/>
  <c r="I68" i="10"/>
  <c r="I71" i="10"/>
  <c r="I72" i="10"/>
  <c r="I73" i="10"/>
  <c r="I74" i="10"/>
  <c r="I75" i="10"/>
  <c r="I76" i="10"/>
  <c r="I77" i="10"/>
  <c r="I78" i="10"/>
  <c r="I79" i="10"/>
  <c r="I80" i="10"/>
  <c r="I81" i="10"/>
  <c r="I82" i="10"/>
  <c r="I83" i="10"/>
  <c r="I84" i="10"/>
  <c r="I85" i="10"/>
  <c r="I86" i="10"/>
  <c r="I87" i="10"/>
  <c r="I88" i="10"/>
  <c r="I89" i="10"/>
  <c r="I90" i="10"/>
  <c r="I91" i="10"/>
  <c r="I92" i="10"/>
  <c r="I93" i="10"/>
  <c r="I94" i="10"/>
  <c r="I95" i="10"/>
  <c r="I96" i="10"/>
  <c r="I97" i="10"/>
  <c r="I98" i="10"/>
  <c r="I99" i="10"/>
  <c r="I102" i="10"/>
  <c r="I103" i="10"/>
  <c r="I104" i="10"/>
  <c r="I105" i="10"/>
  <c r="I106" i="10"/>
  <c r="I107" i="10"/>
  <c r="I108" i="10"/>
  <c r="I109" i="10"/>
  <c r="I110" i="10"/>
  <c r="I113" i="10"/>
  <c r="I114" i="10"/>
  <c r="I115" i="10"/>
  <c r="I116" i="10"/>
  <c r="I117" i="10"/>
  <c r="I118" i="10"/>
  <c r="I119" i="10"/>
  <c r="I120" i="10"/>
  <c r="I123" i="10"/>
  <c r="I124" i="10"/>
  <c r="I125" i="10"/>
  <c r="I126" i="10"/>
  <c r="I127" i="10"/>
  <c r="I128" i="10"/>
  <c r="I129" i="10"/>
  <c r="I130" i="10"/>
  <c r="I131" i="10"/>
  <c r="I132" i="10"/>
  <c r="I133" i="10"/>
  <c r="I134" i="10"/>
  <c r="I135" i="10"/>
  <c r="I136" i="10"/>
  <c r="I137" i="10"/>
  <c r="I138" i="10"/>
  <c r="I139" i="10"/>
  <c r="I140" i="10"/>
  <c r="I141" i="10"/>
  <c r="I144" i="10"/>
  <c r="I145" i="10"/>
  <c r="I146" i="10"/>
  <c r="I147" i="10"/>
  <c r="I148" i="10"/>
  <c r="I149" i="10"/>
  <c r="I150" i="10"/>
  <c r="I153" i="10"/>
  <c r="I154" i="10"/>
  <c r="I155" i="10"/>
  <c r="I156" i="10"/>
  <c r="I157" i="10"/>
  <c r="I158" i="10"/>
  <c r="I159" i="10"/>
  <c r="I160" i="10"/>
  <c r="I162" i="10"/>
  <c r="I163" i="10"/>
  <c r="I164" i="10"/>
  <c r="I165" i="10"/>
  <c r="I166" i="10"/>
  <c r="I167" i="10"/>
  <c r="E19" i="10"/>
  <c r="E20" i="10"/>
  <c r="E21" i="10"/>
  <c r="E22" i="10"/>
  <c r="E23" i="10"/>
  <c r="E24" i="10"/>
  <c r="E26" i="10"/>
  <c r="E27" i="10"/>
  <c r="E28" i="10"/>
  <c r="E29" i="10"/>
  <c r="E30" i="10"/>
  <c r="E31" i="10"/>
  <c r="E32" i="10"/>
  <c r="E34" i="10"/>
  <c r="E35" i="10"/>
  <c r="E36" i="10"/>
  <c r="E37" i="10"/>
  <c r="E38" i="10"/>
  <c r="E39" i="10"/>
  <c r="E40" i="10"/>
  <c r="E41" i="10"/>
  <c r="E42" i="10"/>
  <c r="E43" i="10"/>
  <c r="E46" i="10"/>
  <c r="E47" i="10"/>
  <c r="E48" i="10"/>
  <c r="E50" i="10"/>
  <c r="E51" i="10"/>
  <c r="E53" i="10"/>
  <c r="E54" i="10"/>
  <c r="E55" i="10"/>
  <c r="E57" i="10"/>
  <c r="E59" i="10"/>
  <c r="E60" i="10"/>
  <c r="E61" i="10"/>
  <c r="E62" i="10"/>
  <c r="E64" i="10"/>
  <c r="E65" i="10"/>
  <c r="E66" i="10"/>
  <c r="E67" i="10"/>
  <c r="E68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M83" i="10" s="1"/>
  <c r="E84" i="10"/>
  <c r="E85" i="10"/>
  <c r="E86" i="10"/>
  <c r="E87" i="10"/>
  <c r="E88" i="10"/>
  <c r="E89" i="10"/>
  <c r="E90" i="10"/>
  <c r="E91" i="10"/>
  <c r="M91" i="10" s="1"/>
  <c r="E92" i="10"/>
  <c r="E93" i="10"/>
  <c r="E94" i="10"/>
  <c r="E95" i="10"/>
  <c r="E96" i="10"/>
  <c r="E97" i="10"/>
  <c r="E98" i="10"/>
  <c r="E99" i="10"/>
  <c r="E102" i="10"/>
  <c r="E103" i="10"/>
  <c r="E104" i="10"/>
  <c r="E105" i="10"/>
  <c r="E106" i="10"/>
  <c r="E107" i="10"/>
  <c r="E108" i="10"/>
  <c r="E109" i="10"/>
  <c r="E110" i="10"/>
  <c r="E113" i="10"/>
  <c r="E114" i="10"/>
  <c r="E115" i="10"/>
  <c r="E116" i="10"/>
  <c r="E117" i="10"/>
  <c r="E118" i="10"/>
  <c r="E119" i="10"/>
  <c r="E120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4" i="10"/>
  <c r="E145" i="10"/>
  <c r="E146" i="10"/>
  <c r="E147" i="10"/>
  <c r="E148" i="10"/>
  <c r="E149" i="10"/>
  <c r="E150" i="10"/>
  <c r="E152" i="10"/>
  <c r="E151" i="10" s="1"/>
  <c r="E153" i="10"/>
  <c r="E154" i="10"/>
  <c r="E155" i="10"/>
  <c r="E156" i="10"/>
  <c r="E157" i="10"/>
  <c r="E158" i="10"/>
  <c r="E159" i="10"/>
  <c r="E160" i="10"/>
  <c r="E163" i="10"/>
  <c r="E164" i="10"/>
  <c r="M164" i="10" s="1"/>
  <c r="E165" i="10"/>
  <c r="E166" i="10"/>
  <c r="E167" i="10"/>
  <c r="O32" i="10"/>
  <c r="P32" i="10"/>
  <c r="O68" i="10"/>
  <c r="P68" i="10"/>
  <c r="O141" i="10"/>
  <c r="N68" i="10"/>
  <c r="M68" i="10"/>
  <c r="I16" i="10"/>
  <c r="I17" i="10"/>
  <c r="I18" i="10"/>
  <c r="I15" i="10"/>
  <c r="E16" i="10"/>
  <c r="E17" i="10"/>
  <c r="E18" i="10"/>
  <c r="E15" i="10"/>
  <c r="E14" i="10"/>
  <c r="G14" i="10"/>
  <c r="H14" i="10"/>
  <c r="F14" i="10"/>
  <c r="F13" i="10" s="1"/>
  <c r="E162" i="10" l="1"/>
  <c r="E161" i="10" s="1"/>
  <c r="M84" i="10"/>
  <c r="I14" i="10"/>
  <c r="M150" i="10"/>
  <c r="M132" i="10"/>
  <c r="M124" i="10"/>
  <c r="M114" i="10"/>
  <c r="M104" i="10"/>
  <c r="M94" i="10"/>
  <c r="M86" i="10"/>
  <c r="M78" i="10"/>
  <c r="M59" i="10"/>
  <c r="M47" i="10"/>
  <c r="M37" i="10"/>
  <c r="M28" i="10"/>
  <c r="M19" i="10"/>
  <c r="N33" i="10"/>
  <c r="M16" i="10"/>
  <c r="M145" i="10"/>
  <c r="M127" i="10"/>
  <c r="M117" i="10"/>
  <c r="M107" i="10"/>
  <c r="M97" i="10"/>
  <c r="M89" i="10"/>
  <c r="M73" i="10"/>
  <c r="M51" i="10"/>
  <c r="M40" i="10"/>
  <c r="M31" i="10"/>
  <c r="M22" i="10"/>
  <c r="P112" i="10"/>
  <c r="E122" i="10"/>
  <c r="E121" i="10" s="1"/>
  <c r="N162" i="10"/>
  <c r="M167" i="10"/>
  <c r="M148" i="10"/>
  <c r="M130" i="10"/>
  <c r="M120" i="10"/>
  <c r="M102" i="10"/>
  <c r="M66" i="10"/>
  <c r="M17" i="10"/>
  <c r="M159" i="10"/>
  <c r="M149" i="10"/>
  <c r="M139" i="10"/>
  <c r="M131" i="10"/>
  <c r="M123" i="10"/>
  <c r="M113" i="10"/>
  <c r="M103" i="10"/>
  <c r="M93" i="10"/>
  <c r="M85" i="10"/>
  <c r="M77" i="10"/>
  <c r="M67" i="10"/>
  <c r="M57" i="10"/>
  <c r="M46" i="10"/>
  <c r="M36" i="10"/>
  <c r="M27" i="10"/>
  <c r="M160" i="10"/>
  <c r="M153" i="10"/>
  <c r="M125" i="10"/>
  <c r="M105" i="10"/>
  <c r="M60" i="10"/>
  <c r="M29" i="10"/>
  <c r="M20" i="10"/>
  <c r="J161" i="10"/>
  <c r="N161" i="10" s="1"/>
  <c r="M18" i="10"/>
  <c r="M15" i="10"/>
  <c r="M141" i="10"/>
  <c r="M115" i="10"/>
  <c r="M95" i="10"/>
  <c r="M87" i="10"/>
  <c r="M71" i="10"/>
  <c r="M38" i="10"/>
  <c r="M14" i="10"/>
  <c r="M163" i="10"/>
  <c r="M154" i="10"/>
  <c r="M144" i="10"/>
  <c r="M134" i="10"/>
  <c r="M116" i="10"/>
  <c r="M106" i="10"/>
  <c r="M96" i="10"/>
  <c r="M88" i="10"/>
  <c r="M80" i="10"/>
  <c r="M72" i="10"/>
  <c r="M61" i="10"/>
  <c r="M50" i="10"/>
  <c r="M39" i="10"/>
  <c r="M30" i="10"/>
  <c r="O33" i="10"/>
  <c r="K111" i="10"/>
  <c r="O111" i="10" s="1"/>
  <c r="M155" i="10"/>
  <c r="P33" i="10"/>
  <c r="L111" i="10"/>
  <c r="P111" i="10" s="1"/>
  <c r="M165" i="10"/>
  <c r="M156" i="10"/>
  <c r="M136" i="10"/>
  <c r="M128" i="10"/>
  <c r="M118" i="10"/>
  <c r="M108" i="10"/>
  <c r="M98" i="10"/>
  <c r="M90" i="10"/>
  <c r="M82" i="10"/>
  <c r="M74" i="10"/>
  <c r="M64" i="10"/>
  <c r="M53" i="10"/>
  <c r="M41" i="10"/>
  <c r="M32" i="10"/>
  <c r="M23" i="10"/>
  <c r="I152" i="10"/>
  <c r="M152" i="10" s="1"/>
  <c r="J121" i="10"/>
  <c r="N121" i="10" s="1"/>
  <c r="N122" i="10"/>
  <c r="M166" i="10"/>
  <c r="M157" i="10"/>
  <c r="M147" i="10"/>
  <c r="M137" i="10"/>
  <c r="M129" i="10"/>
  <c r="M119" i="10"/>
  <c r="M109" i="10"/>
  <c r="M99" i="10"/>
  <c r="M75" i="10"/>
  <c r="M65" i="10"/>
  <c r="M54" i="10"/>
  <c r="M42" i="10"/>
  <c r="M34" i="10"/>
  <c r="M24" i="10"/>
  <c r="J111" i="10"/>
  <c r="N111" i="10" s="1"/>
  <c r="N112" i="10"/>
  <c r="J142" i="10"/>
  <c r="N142" i="10" s="1"/>
  <c r="N143" i="10"/>
  <c r="M158" i="10"/>
  <c r="M138" i="10"/>
  <c r="M110" i="10"/>
  <c r="M92" i="10"/>
  <c r="M76" i="10"/>
  <c r="M55" i="10"/>
  <c r="M43" i="10"/>
  <c r="M35" i="10"/>
  <c r="M26" i="10"/>
  <c r="E143" i="10"/>
  <c r="E142" i="10" s="1"/>
  <c r="M146" i="10"/>
  <c r="M140" i="10"/>
  <c r="M133" i="10"/>
  <c r="G121" i="10"/>
  <c r="M126" i="10"/>
  <c r="E70" i="10"/>
  <c r="E69" i="10" s="1"/>
  <c r="M81" i="10"/>
  <c r="N70" i="10"/>
  <c r="M79" i="10"/>
  <c r="E45" i="10"/>
  <c r="E44" i="10" s="1"/>
  <c r="M62" i="10"/>
  <c r="N45" i="10"/>
  <c r="G44" i="10"/>
  <c r="M48" i="10"/>
  <c r="M21" i="10"/>
  <c r="K161" i="10"/>
  <c r="O161" i="10" s="1"/>
  <c r="O162" i="10"/>
  <c r="L161" i="10"/>
  <c r="P161" i="10" s="1"/>
  <c r="P162" i="10"/>
  <c r="I161" i="10"/>
  <c r="M161" i="10" s="1"/>
  <c r="M162" i="10"/>
  <c r="K151" i="10"/>
  <c r="O151" i="10" s="1"/>
  <c r="O152" i="10"/>
  <c r="L151" i="10"/>
  <c r="P151" i="10" s="1"/>
  <c r="P152" i="10"/>
  <c r="I143" i="10"/>
  <c r="O143" i="10"/>
  <c r="L142" i="10"/>
  <c r="P142" i="10" s="1"/>
  <c r="P143" i="10"/>
  <c r="L121" i="10"/>
  <c r="P121" i="10" s="1"/>
  <c r="P122" i="10"/>
  <c r="K121" i="10"/>
  <c r="O122" i="10"/>
  <c r="L100" i="10"/>
  <c r="P101" i="10"/>
  <c r="L69" i="10"/>
  <c r="P69" i="10" s="1"/>
  <c r="P70" i="10"/>
  <c r="L44" i="10"/>
  <c r="P44" i="10" s="1"/>
  <c r="P45" i="10"/>
  <c r="L13" i="10"/>
  <c r="P14" i="10"/>
  <c r="K69" i="10"/>
  <c r="O69" i="10" s="1"/>
  <c r="O70" i="10"/>
  <c r="K44" i="10"/>
  <c r="O44" i="10" s="1"/>
  <c r="O45" i="10"/>
  <c r="K13" i="10"/>
  <c r="O14" i="10"/>
  <c r="K100" i="10"/>
  <c r="O100" i="10" s="1"/>
  <c r="O101" i="10"/>
  <c r="I151" i="10"/>
  <c r="M151" i="10" s="1"/>
  <c r="J151" i="10"/>
  <c r="N151" i="10" s="1"/>
  <c r="N152" i="10"/>
  <c r="J100" i="10"/>
  <c r="N100" i="10" s="1"/>
  <c r="N101" i="10"/>
  <c r="N14" i="10"/>
  <c r="J13" i="10"/>
  <c r="K142" i="10"/>
  <c r="O142" i="10" s="1"/>
  <c r="I122" i="10"/>
  <c r="I112" i="10"/>
  <c r="I101" i="10"/>
  <c r="I70" i="10"/>
  <c r="J69" i="10"/>
  <c r="N69" i="10" s="1"/>
  <c r="J44" i="10"/>
  <c r="N44" i="10" s="1"/>
  <c r="I45" i="10"/>
  <c r="E112" i="10"/>
  <c r="H100" i="10"/>
  <c r="E101" i="10"/>
  <c r="E100" i="10" s="1"/>
  <c r="I33" i="10"/>
  <c r="M33" i="10" s="1"/>
  <c r="E33" i="10"/>
  <c r="F12" i="10"/>
  <c r="F168" i="10" s="1"/>
  <c r="H13" i="10"/>
  <c r="H12" i="10" s="1"/>
  <c r="G13" i="10"/>
  <c r="E13" i="10" s="1"/>
  <c r="O171" i="7"/>
  <c r="N171" i="7"/>
  <c r="M171" i="7"/>
  <c r="L171" i="7"/>
  <c r="K171" i="7"/>
  <c r="J171" i="7"/>
  <c r="I171" i="7"/>
  <c r="H171" i="7"/>
  <c r="G171" i="7"/>
  <c r="F171" i="7"/>
  <c r="E171" i="7"/>
  <c r="H165" i="7"/>
  <c r="O165" i="7" s="1"/>
  <c r="H164" i="7"/>
  <c r="O164" i="7" s="1"/>
  <c r="H163" i="7"/>
  <c r="O163" i="7" s="1"/>
  <c r="N161" i="7"/>
  <c r="M161" i="7"/>
  <c r="L161" i="7"/>
  <c r="H161" i="7" s="1"/>
  <c r="E161" i="7"/>
  <c r="H160" i="7"/>
  <c r="O160" i="7" s="1"/>
  <c r="N158" i="7"/>
  <c r="M158" i="7"/>
  <c r="L158" i="7"/>
  <c r="H158" i="7" s="1"/>
  <c r="O158" i="7" s="1"/>
  <c r="O157" i="7"/>
  <c r="O156" i="7"/>
  <c r="E156" i="7"/>
  <c r="N155" i="7"/>
  <c r="M155" i="7"/>
  <c r="L155" i="7"/>
  <c r="H155" i="7" s="1"/>
  <c r="E155" i="7"/>
  <c r="H154" i="7"/>
  <c r="F154" i="7"/>
  <c r="E154" i="7"/>
  <c r="E153" i="7" s="1"/>
  <c r="K153" i="7"/>
  <c r="K152" i="7" s="1"/>
  <c r="J153" i="7"/>
  <c r="I153" i="7"/>
  <c r="I152" i="7" s="1"/>
  <c r="G153" i="7"/>
  <c r="F153" i="7"/>
  <c r="F152" i="7" s="1"/>
  <c r="J152" i="7"/>
  <c r="G152" i="7"/>
  <c r="O151" i="7"/>
  <c r="N150" i="7"/>
  <c r="M150" i="7"/>
  <c r="M146" i="7" s="1"/>
  <c r="M145" i="7" s="1"/>
  <c r="L150" i="7"/>
  <c r="H150" i="7" s="1"/>
  <c r="O150" i="7" s="1"/>
  <c r="H149" i="7"/>
  <c r="O149" i="7" s="1"/>
  <c r="O148" i="7"/>
  <c r="O147" i="7"/>
  <c r="F147" i="7"/>
  <c r="N146" i="7"/>
  <c r="N145" i="7" s="1"/>
  <c r="L146" i="7"/>
  <c r="L145" i="7" s="1"/>
  <c r="K146" i="7"/>
  <c r="K145" i="7" s="1"/>
  <c r="J146" i="7"/>
  <c r="J145" i="7" s="1"/>
  <c r="I146" i="7"/>
  <c r="I145" i="7" s="1"/>
  <c r="G146" i="7"/>
  <c r="F146" i="7"/>
  <c r="F145" i="7" s="1"/>
  <c r="E146" i="7"/>
  <c r="E145" i="7" s="1"/>
  <c r="G145" i="7"/>
  <c r="H144" i="7"/>
  <c r="O144" i="7" s="1"/>
  <c r="F144" i="7"/>
  <c r="N143" i="7"/>
  <c r="N142" i="7" s="1"/>
  <c r="M143" i="7"/>
  <c r="M142" i="7" s="1"/>
  <c r="L143" i="7"/>
  <c r="H143" i="7" s="1"/>
  <c r="F143" i="7"/>
  <c r="F142" i="7" s="1"/>
  <c r="E143" i="7"/>
  <c r="K142" i="7"/>
  <c r="J142" i="7"/>
  <c r="I142" i="7"/>
  <c r="G142" i="7"/>
  <c r="E142" i="7"/>
  <c r="H141" i="7"/>
  <c r="O141" i="7" s="1"/>
  <c r="H140" i="7"/>
  <c r="O140" i="7" s="1"/>
  <c r="N139" i="7"/>
  <c r="M139" i="7"/>
  <c r="M136" i="7" s="1"/>
  <c r="M135" i="7" s="1"/>
  <c r="L139" i="7"/>
  <c r="L136" i="7" s="1"/>
  <c r="L135" i="7" s="1"/>
  <c r="H139" i="7"/>
  <c r="H138" i="7"/>
  <c r="O138" i="7" s="1"/>
  <c r="H137" i="7"/>
  <c r="O137" i="7" s="1"/>
  <c r="F137" i="7"/>
  <c r="N136" i="7"/>
  <c r="N135" i="7" s="1"/>
  <c r="K136" i="7"/>
  <c r="K135" i="7" s="1"/>
  <c r="J136" i="7"/>
  <c r="J135" i="7" s="1"/>
  <c r="I136" i="7"/>
  <c r="I135" i="7" s="1"/>
  <c r="G136" i="7"/>
  <c r="F136" i="7"/>
  <c r="F135" i="7" s="1"/>
  <c r="E136" i="7"/>
  <c r="G135" i="7"/>
  <c r="H134" i="7"/>
  <c r="O134" i="7" s="1"/>
  <c r="H133" i="7"/>
  <c r="O133" i="7" s="1"/>
  <c r="N132" i="7"/>
  <c r="M132" i="7"/>
  <c r="L132" i="7"/>
  <c r="H132" i="7" s="1"/>
  <c r="O132" i="7" s="1"/>
  <c r="E132" i="7"/>
  <c r="N131" i="7"/>
  <c r="M131" i="7"/>
  <c r="L131" i="7"/>
  <c r="H131" i="7" s="1"/>
  <c r="O131" i="7" s="1"/>
  <c r="H130" i="7"/>
  <c r="O130" i="7" s="1"/>
  <c r="O129" i="7"/>
  <c r="H129" i="7"/>
  <c r="N128" i="7"/>
  <c r="M128" i="7"/>
  <c r="L128" i="7"/>
  <c r="H128" i="7" s="1"/>
  <c r="E128" i="7"/>
  <c r="N127" i="7"/>
  <c r="M127" i="7"/>
  <c r="L127" i="7"/>
  <c r="H127" i="7" s="1"/>
  <c r="O127" i="7" s="1"/>
  <c r="H126" i="7"/>
  <c r="O126" i="7" s="1"/>
  <c r="N125" i="7"/>
  <c r="M125" i="7"/>
  <c r="L125" i="7"/>
  <c r="H125" i="7" s="1"/>
  <c r="O125" i="7" s="1"/>
  <c r="N124" i="7"/>
  <c r="M124" i="7"/>
  <c r="L124" i="7"/>
  <c r="H124" i="7" s="1"/>
  <c r="O124" i="7" s="1"/>
  <c r="H123" i="7"/>
  <c r="O123" i="7" s="1"/>
  <c r="N122" i="7"/>
  <c r="M122" i="7"/>
  <c r="L122" i="7"/>
  <c r="H122" i="7" s="1"/>
  <c r="O121" i="7"/>
  <c r="H120" i="7"/>
  <c r="O120" i="7" s="1"/>
  <c r="F120" i="7"/>
  <c r="F119" i="7" s="1"/>
  <c r="F118" i="7" s="1"/>
  <c r="K119" i="7"/>
  <c r="K118" i="7" s="1"/>
  <c r="J119" i="7"/>
  <c r="J118" i="7" s="1"/>
  <c r="I119" i="7"/>
  <c r="I118" i="7" s="1"/>
  <c r="G119" i="7"/>
  <c r="G118" i="7" s="1"/>
  <c r="E119" i="7"/>
  <c r="E118" i="7" s="1"/>
  <c r="O117" i="7"/>
  <c r="O116" i="7"/>
  <c r="O115" i="7"/>
  <c r="O114" i="7"/>
  <c r="O113" i="7"/>
  <c r="H111" i="7"/>
  <c r="F111" i="7"/>
  <c r="F110" i="7" s="1"/>
  <c r="F109" i="7" s="1"/>
  <c r="E111" i="7"/>
  <c r="E110" i="7" s="1"/>
  <c r="N110" i="7"/>
  <c r="N109" i="7" s="1"/>
  <c r="M110" i="7"/>
  <c r="L110" i="7"/>
  <c r="L109" i="7" s="1"/>
  <c r="K110" i="7"/>
  <c r="K109" i="7" s="1"/>
  <c r="J110" i="7"/>
  <c r="J109" i="7" s="1"/>
  <c r="I110" i="7"/>
  <c r="G110" i="7"/>
  <c r="G109" i="7" s="1"/>
  <c r="M109" i="7"/>
  <c r="E108" i="7"/>
  <c r="O108" i="7" s="1"/>
  <c r="H107" i="7"/>
  <c r="O107" i="7" s="1"/>
  <c r="N106" i="7"/>
  <c r="M106" i="7"/>
  <c r="L106" i="7"/>
  <c r="J106" i="7"/>
  <c r="I106" i="7"/>
  <c r="H106" i="7" s="1"/>
  <c r="F106" i="7"/>
  <c r="E106" i="7"/>
  <c r="N105" i="7"/>
  <c r="M105" i="7"/>
  <c r="L105" i="7"/>
  <c r="H105" i="7" s="1"/>
  <c r="F105" i="7"/>
  <c r="E105" i="7"/>
  <c r="N104" i="7"/>
  <c r="M104" i="7"/>
  <c r="L104" i="7"/>
  <c r="H104" i="7" s="1"/>
  <c r="F104" i="7"/>
  <c r="E104" i="7"/>
  <c r="N103" i="7"/>
  <c r="M103" i="7"/>
  <c r="L103" i="7"/>
  <c r="J103" i="7"/>
  <c r="J101" i="7" s="1"/>
  <c r="J100" i="7" s="1"/>
  <c r="I103" i="7"/>
  <c r="F103" i="7"/>
  <c r="O102" i="7"/>
  <c r="F102" i="7"/>
  <c r="K101" i="7"/>
  <c r="K100" i="7" s="1"/>
  <c r="G101" i="7"/>
  <c r="G100" i="7" s="1"/>
  <c r="O99" i="7"/>
  <c r="O98" i="7"/>
  <c r="H97" i="7"/>
  <c r="O97" i="7" s="1"/>
  <c r="F97" i="7"/>
  <c r="F96" i="7" s="1"/>
  <c r="F95" i="7" s="1"/>
  <c r="N96" i="7"/>
  <c r="N95" i="7" s="1"/>
  <c r="M96" i="7"/>
  <c r="M95" i="7" s="1"/>
  <c r="L96" i="7"/>
  <c r="K96" i="7"/>
  <c r="K95" i="7" s="1"/>
  <c r="J96" i="7"/>
  <c r="J95" i="7" s="1"/>
  <c r="I96" i="7"/>
  <c r="I95" i="7" s="1"/>
  <c r="E96" i="7"/>
  <c r="E95" i="7" s="1"/>
  <c r="E94" i="7"/>
  <c r="O94" i="7" s="1"/>
  <c r="E93" i="7"/>
  <c r="O93" i="7" s="1"/>
  <c r="O92" i="7"/>
  <c r="O90" i="7"/>
  <c r="F90" i="7"/>
  <c r="E90" i="7"/>
  <c r="H89" i="7"/>
  <c r="F89" i="7"/>
  <c r="E89" i="7"/>
  <c r="O89" i="7" s="1"/>
  <c r="O88" i="7"/>
  <c r="O87" i="7"/>
  <c r="O86" i="7"/>
  <c r="O85" i="7"/>
  <c r="O84" i="7"/>
  <c r="O83" i="7"/>
  <c r="O82" i="7"/>
  <c r="O81" i="7"/>
  <c r="E81" i="7"/>
  <c r="O80" i="7"/>
  <c r="O79" i="7"/>
  <c r="O78" i="7"/>
  <c r="O77" i="7"/>
  <c r="O76" i="7"/>
  <c r="O75" i="7"/>
  <c r="O74" i="7"/>
  <c r="O73" i="7"/>
  <c r="O72" i="7"/>
  <c r="H71" i="7"/>
  <c r="H70" i="7" s="1"/>
  <c r="H69" i="7" s="1"/>
  <c r="F71" i="7"/>
  <c r="E71" i="7"/>
  <c r="N70" i="7"/>
  <c r="N69" i="7" s="1"/>
  <c r="M70" i="7"/>
  <c r="M69" i="7" s="1"/>
  <c r="L70" i="7"/>
  <c r="L69" i="7" s="1"/>
  <c r="K70" i="7"/>
  <c r="K69" i="7" s="1"/>
  <c r="J70" i="7"/>
  <c r="J69" i="7" s="1"/>
  <c r="I70" i="7"/>
  <c r="I69" i="7" s="1"/>
  <c r="G70" i="7"/>
  <c r="G69" i="7" s="1"/>
  <c r="H68" i="7"/>
  <c r="O68" i="7" s="1"/>
  <c r="H67" i="7"/>
  <c r="F67" i="7"/>
  <c r="E67" i="7"/>
  <c r="H66" i="7"/>
  <c r="O66" i="7" s="1"/>
  <c r="H65" i="7"/>
  <c r="O65" i="7" s="1"/>
  <c r="H63" i="7"/>
  <c r="G63" i="7"/>
  <c r="F63" i="7"/>
  <c r="E63" i="7"/>
  <c r="O63" i="7" s="1"/>
  <c r="H62" i="7"/>
  <c r="F62" i="7"/>
  <c r="E62" i="7"/>
  <c r="O62" i="7" s="1"/>
  <c r="O61" i="7"/>
  <c r="H61" i="7"/>
  <c r="L60" i="7"/>
  <c r="H60" i="7" s="1"/>
  <c r="F60" i="7"/>
  <c r="E60" i="7"/>
  <c r="H59" i="7"/>
  <c r="O59" i="7" s="1"/>
  <c r="H58" i="7"/>
  <c r="O58" i="7" s="1"/>
  <c r="N56" i="7"/>
  <c r="M56" i="7"/>
  <c r="L56" i="7"/>
  <c r="H56" i="7" s="1"/>
  <c r="F56" i="7"/>
  <c r="E56" i="7"/>
  <c r="H55" i="7"/>
  <c r="O55" i="7" s="1"/>
  <c r="H54" i="7"/>
  <c r="O54" i="7" s="1"/>
  <c r="F54" i="7"/>
  <c r="H53" i="7"/>
  <c r="O53" i="7" s="1"/>
  <c r="H52" i="7"/>
  <c r="O52" i="7" s="1"/>
  <c r="N50" i="7"/>
  <c r="M50" i="7"/>
  <c r="L50" i="7"/>
  <c r="H50" i="7" s="1"/>
  <c r="F50" i="7"/>
  <c r="E50" i="7"/>
  <c r="N49" i="7"/>
  <c r="M49" i="7"/>
  <c r="L49" i="7"/>
  <c r="H49" i="7" s="1"/>
  <c r="O49" i="7" s="1"/>
  <c r="F49" i="7"/>
  <c r="E49" i="7"/>
  <c r="H48" i="7"/>
  <c r="O48" i="7" s="1"/>
  <c r="F48" i="7"/>
  <c r="K47" i="7"/>
  <c r="J47" i="7"/>
  <c r="I47" i="7"/>
  <c r="I46" i="7" s="1"/>
  <c r="G47" i="7"/>
  <c r="G46" i="7" s="1"/>
  <c r="K46" i="7"/>
  <c r="J46" i="7"/>
  <c r="E45" i="7"/>
  <c r="O45" i="7" s="1"/>
  <c r="O44" i="7"/>
  <c r="H44" i="7"/>
  <c r="F44" i="7"/>
  <c r="F43" i="7" s="1"/>
  <c r="F42" i="7" s="1"/>
  <c r="N43" i="7"/>
  <c r="M43" i="7"/>
  <c r="L43" i="7"/>
  <c r="L42" i="7" s="1"/>
  <c r="K43" i="7"/>
  <c r="K42" i="7" s="1"/>
  <c r="J43" i="7"/>
  <c r="J42" i="7" s="1"/>
  <c r="I43" i="7"/>
  <c r="I42" i="7" s="1"/>
  <c r="H43" i="7"/>
  <c r="H42" i="7" s="1"/>
  <c r="G43" i="7"/>
  <c r="G42" i="7" s="1"/>
  <c r="N42" i="7"/>
  <c r="M42" i="7"/>
  <c r="E41" i="7"/>
  <c r="O41" i="7" s="1"/>
  <c r="N40" i="7"/>
  <c r="N39" i="7" s="1"/>
  <c r="N38" i="7" s="1"/>
  <c r="M40" i="7"/>
  <c r="M39" i="7" s="1"/>
  <c r="M38" i="7" s="1"/>
  <c r="L40" i="7"/>
  <c r="L39" i="7" s="1"/>
  <c r="L38" i="7" s="1"/>
  <c r="H40" i="7"/>
  <c r="H39" i="7" s="1"/>
  <c r="H38" i="7" s="1"/>
  <c r="F40" i="7"/>
  <c r="F39" i="7" s="1"/>
  <c r="F38" i="7" s="1"/>
  <c r="K39" i="7"/>
  <c r="J39" i="7"/>
  <c r="J38" i="7" s="1"/>
  <c r="I39" i="7"/>
  <c r="I38" i="7" s="1"/>
  <c r="G39" i="7"/>
  <c r="G38" i="7" s="1"/>
  <c r="K38" i="7"/>
  <c r="H37" i="7"/>
  <c r="O37" i="7" s="1"/>
  <c r="E37" i="7"/>
  <c r="H36" i="7"/>
  <c r="O36" i="7" s="1"/>
  <c r="F36" i="7"/>
  <c r="F35" i="7" s="1"/>
  <c r="F34" i="7" s="1"/>
  <c r="N35" i="7"/>
  <c r="N34" i="7" s="1"/>
  <c r="M35" i="7"/>
  <c r="M34" i="7" s="1"/>
  <c r="L35" i="7"/>
  <c r="L34" i="7" s="1"/>
  <c r="I35" i="7"/>
  <c r="G35" i="7"/>
  <c r="G34" i="7" s="1"/>
  <c r="E35" i="7"/>
  <c r="I34" i="7"/>
  <c r="E34" i="7"/>
  <c r="O33" i="7"/>
  <c r="I32" i="7"/>
  <c r="H32" i="7" s="1"/>
  <c r="O32" i="7" s="1"/>
  <c r="O31" i="7"/>
  <c r="O30" i="7"/>
  <c r="O29" i="7"/>
  <c r="O28" i="7"/>
  <c r="E27" i="7"/>
  <c r="O27" i="7" s="1"/>
  <c r="H26" i="7"/>
  <c r="O26" i="7" s="1"/>
  <c r="O25" i="7"/>
  <c r="O24" i="7"/>
  <c r="O23" i="7"/>
  <c r="H22" i="7"/>
  <c r="O22" i="7" s="1"/>
  <c r="O21" i="7"/>
  <c r="H21" i="7"/>
  <c r="H20" i="7"/>
  <c r="E20" i="7"/>
  <c r="O20" i="7" s="1"/>
  <c r="H18" i="7"/>
  <c r="H17" i="7"/>
  <c r="O17" i="7" s="1"/>
  <c r="N16" i="7"/>
  <c r="M16" i="7"/>
  <c r="L16" i="7"/>
  <c r="L12" i="7" s="1"/>
  <c r="L11" i="7" s="1"/>
  <c r="E16" i="7"/>
  <c r="E15" i="7"/>
  <c r="O15" i="7" s="1"/>
  <c r="O14" i="7"/>
  <c r="L13" i="7"/>
  <c r="I13" i="7"/>
  <c r="H13" i="7"/>
  <c r="G13" i="7"/>
  <c r="G12" i="7" s="1"/>
  <c r="G11" i="7" s="1"/>
  <c r="F13" i="7"/>
  <c r="F12" i="7" s="1"/>
  <c r="F11" i="7" s="1"/>
  <c r="E13" i="7"/>
  <c r="N12" i="7"/>
  <c r="N11" i="7" s="1"/>
  <c r="M12" i="7"/>
  <c r="M11" i="7" s="1"/>
  <c r="K12" i="7"/>
  <c r="K11" i="7" s="1"/>
  <c r="J12" i="7"/>
  <c r="J11" i="7" s="1"/>
  <c r="O143" i="7" l="1"/>
  <c r="O142" i="7" s="1"/>
  <c r="H142" i="7"/>
  <c r="I12" i="7"/>
  <c r="I11" i="7" s="1"/>
  <c r="H103" i="7"/>
  <c r="O103" i="7" s="1"/>
  <c r="O105" i="7"/>
  <c r="H110" i="7"/>
  <c r="H109" i="7" s="1"/>
  <c r="M153" i="7"/>
  <c r="M152" i="7" s="1"/>
  <c r="H168" i="10"/>
  <c r="O60" i="7"/>
  <c r="I101" i="7"/>
  <c r="O154" i="7"/>
  <c r="N153" i="7"/>
  <c r="N152" i="7" s="1"/>
  <c r="O13" i="10"/>
  <c r="L142" i="7"/>
  <c r="H16" i="7"/>
  <c r="H12" i="7" s="1"/>
  <c r="H11" i="7" s="1"/>
  <c r="F47" i="7"/>
  <c r="F46" i="7" s="1"/>
  <c r="F70" i="7"/>
  <c r="F69" i="7" s="1"/>
  <c r="O128" i="7"/>
  <c r="L153" i="7"/>
  <c r="L152" i="7" s="1"/>
  <c r="P100" i="10"/>
  <c r="K12" i="10"/>
  <c r="I111" i="10"/>
  <c r="M112" i="10"/>
  <c r="O121" i="10"/>
  <c r="I142" i="10"/>
  <c r="M142" i="10" s="1"/>
  <c r="M143" i="10"/>
  <c r="I121" i="10"/>
  <c r="M121" i="10" s="1"/>
  <c r="M122" i="10"/>
  <c r="L12" i="10"/>
  <c r="P13" i="10"/>
  <c r="I13" i="10"/>
  <c r="I12" i="10" s="1"/>
  <c r="I100" i="10"/>
  <c r="M100" i="10" s="1"/>
  <c r="M101" i="10"/>
  <c r="I69" i="10"/>
  <c r="M69" i="10" s="1"/>
  <c r="M70" i="10"/>
  <c r="I44" i="10"/>
  <c r="M44" i="10" s="1"/>
  <c r="M45" i="10"/>
  <c r="N13" i="10"/>
  <c r="J12" i="10"/>
  <c r="N12" i="10" s="1"/>
  <c r="K168" i="10"/>
  <c r="E111" i="10"/>
  <c r="G12" i="10"/>
  <c r="G168" i="10" s="1"/>
  <c r="E168" i="10" s="1"/>
  <c r="E12" i="10"/>
  <c r="F101" i="7"/>
  <c r="F100" i="7" s="1"/>
  <c r="O71" i="7"/>
  <c r="M101" i="7"/>
  <c r="M100" i="7" s="1"/>
  <c r="I109" i="7"/>
  <c r="O13" i="7"/>
  <c r="E18" i="7"/>
  <c r="O18" i="7" s="1"/>
  <c r="M47" i="7"/>
  <c r="M46" i="7" s="1"/>
  <c r="O56" i="7"/>
  <c r="E70" i="7"/>
  <c r="O70" i="7" s="1"/>
  <c r="O106" i="7"/>
  <c r="N119" i="7"/>
  <c r="N118" i="7" s="1"/>
  <c r="O161" i="7"/>
  <c r="H136" i="7"/>
  <c r="H135" i="7" s="1"/>
  <c r="E12" i="7"/>
  <c r="E11" i="7" s="1"/>
  <c r="N47" i="7"/>
  <c r="N46" i="7" s="1"/>
  <c r="N166" i="7" s="1"/>
  <c r="N172" i="7" s="1"/>
  <c r="O67" i="7"/>
  <c r="H96" i="7"/>
  <c r="H95" i="7" s="1"/>
  <c r="N101" i="7"/>
  <c r="N100" i="7" s="1"/>
  <c r="M119" i="7"/>
  <c r="M118" i="7" s="1"/>
  <c r="H153" i="7"/>
  <c r="H152" i="7" s="1"/>
  <c r="O50" i="7"/>
  <c r="H47" i="7"/>
  <c r="H46" i="7" s="1"/>
  <c r="E69" i="7"/>
  <c r="O69" i="7" s="1"/>
  <c r="H119" i="7"/>
  <c r="O122" i="7"/>
  <c r="O104" i="7"/>
  <c r="O155" i="7"/>
  <c r="J166" i="7"/>
  <c r="J172" i="7" s="1"/>
  <c r="G166" i="7"/>
  <c r="G172" i="7" s="1"/>
  <c r="I100" i="7"/>
  <c r="I166" i="7" s="1"/>
  <c r="K166" i="7"/>
  <c r="K172" i="7" s="1"/>
  <c r="F166" i="7"/>
  <c r="F172" i="7" s="1"/>
  <c r="O136" i="7"/>
  <c r="O135" i="7" s="1"/>
  <c r="O110" i="7"/>
  <c r="E109" i="7"/>
  <c r="O109" i="7" s="1"/>
  <c r="E152" i="7"/>
  <c r="O153" i="7"/>
  <c r="O152" i="7" s="1"/>
  <c r="O16" i="7"/>
  <c r="H35" i="7"/>
  <c r="H34" i="7" s="1"/>
  <c r="O34" i="7" s="1"/>
  <c r="E47" i="7"/>
  <c r="L95" i="7"/>
  <c r="E135" i="7"/>
  <c r="E39" i="7"/>
  <c r="O40" i="7"/>
  <c r="L47" i="7"/>
  <c r="L46" i="7" s="1"/>
  <c r="O111" i="7"/>
  <c r="L119" i="7"/>
  <c r="L118" i="7" s="1"/>
  <c r="O139" i="7"/>
  <c r="H146" i="7"/>
  <c r="H145" i="7" s="1"/>
  <c r="E101" i="7"/>
  <c r="O146" i="7"/>
  <c r="O145" i="7" s="1"/>
  <c r="E43" i="7"/>
  <c r="O96" i="7"/>
  <c r="O95" i="7" s="1"/>
  <c r="L101" i="7"/>
  <c r="L100" i="7" s="1"/>
  <c r="M166" i="7" l="1"/>
  <c r="M172" i="7" s="1"/>
  <c r="O12" i="7"/>
  <c r="O12" i="10"/>
  <c r="M111" i="10"/>
  <c r="M12" i="10"/>
  <c r="M13" i="10"/>
  <c r="P12" i="10"/>
  <c r="L168" i="10"/>
  <c r="P168" i="10" s="1"/>
  <c r="O168" i="10"/>
  <c r="J168" i="10"/>
  <c r="L166" i="7"/>
  <c r="L172" i="7" s="1"/>
  <c r="O35" i="7"/>
  <c r="O43" i="7"/>
  <c r="E42" i="7"/>
  <c r="O42" i="7" s="1"/>
  <c r="I172" i="7"/>
  <c r="O101" i="7"/>
  <c r="O100" i="7" s="1"/>
  <c r="E100" i="7"/>
  <c r="O11" i="7"/>
  <c r="H101" i="7"/>
  <c r="H100" i="7" s="1"/>
  <c r="O119" i="7"/>
  <c r="H118" i="7"/>
  <c r="O118" i="7" s="1"/>
  <c r="O47" i="7"/>
  <c r="E46" i="7"/>
  <c r="O46" i="7" s="1"/>
  <c r="O39" i="7"/>
  <c r="E38" i="7"/>
  <c r="O38" i="7" s="1"/>
  <c r="N168" i="10" l="1"/>
  <c r="I168" i="10"/>
  <c r="M168" i="10" s="1"/>
  <c r="H166" i="7"/>
  <c r="H172" i="7" s="1"/>
  <c r="E166" i="7"/>
  <c r="O166" i="7" l="1"/>
  <c r="O172" i="7" s="1"/>
  <c r="E172" i="7"/>
  <c r="N159" i="4" l="1"/>
  <c r="M159" i="4"/>
  <c r="L159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E68" i="4"/>
  <c r="E67" i="4" s="1"/>
  <c r="M165" i="4"/>
  <c r="N165" i="4"/>
  <c r="L165" i="4"/>
  <c r="E165" i="4"/>
  <c r="M162" i="4"/>
  <c r="N162" i="4"/>
  <c r="L162" i="4"/>
  <c r="H162" i="4" s="1"/>
  <c r="H164" i="4"/>
  <c r="O164" i="4" s="1"/>
  <c r="N130" i="4"/>
  <c r="M130" i="4"/>
  <c r="L130" i="4"/>
  <c r="H168" i="4"/>
  <c r="L100" i="4"/>
  <c r="L157" i="4" l="1"/>
  <c r="N157" i="4"/>
  <c r="M157" i="4"/>
  <c r="N124" i="4"/>
  <c r="M124" i="4"/>
  <c r="L124" i="4"/>
  <c r="N119" i="4"/>
  <c r="M119" i="4"/>
  <c r="L119" i="4"/>
  <c r="M154" i="4"/>
  <c r="M153" i="4" s="1"/>
  <c r="N154" i="4"/>
  <c r="N153" i="4" s="1"/>
  <c r="L154" i="4"/>
  <c r="H154" i="4" s="1"/>
  <c r="H155" i="4"/>
  <c r="O155" i="4" s="1"/>
  <c r="O154" i="4" s="1"/>
  <c r="O153" i="4" s="1"/>
  <c r="L153" i="4" l="1"/>
  <c r="H153" i="4" s="1"/>
  <c r="E157" i="4"/>
  <c r="H169" i="4"/>
  <c r="O169" i="4" s="1"/>
  <c r="O162" i="4"/>
  <c r="H126" i="4" l="1"/>
  <c r="O126" i="4" s="1"/>
  <c r="H127" i="4"/>
  <c r="O127" i="4" s="1"/>
  <c r="H128" i="4"/>
  <c r="O128" i="4" s="1"/>
  <c r="H129" i="4"/>
  <c r="O129" i="4" s="1"/>
  <c r="E116" i="4"/>
  <c r="M46" i="4"/>
  <c r="N46" i="4"/>
  <c r="L46" i="4"/>
  <c r="H65" i="4"/>
  <c r="O65" i="4" s="1"/>
  <c r="E16" i="4"/>
  <c r="O168" i="4"/>
  <c r="H167" i="4"/>
  <c r="O167" i="4" s="1"/>
  <c r="J135" i="4" l="1"/>
  <c r="K135" i="4"/>
  <c r="L135" i="4"/>
  <c r="M135" i="4"/>
  <c r="N135" i="4"/>
  <c r="I135" i="4"/>
  <c r="H139" i="4"/>
  <c r="O139" i="4" s="1"/>
  <c r="H55" i="4"/>
  <c r="O55" i="4" s="1"/>
  <c r="H50" i="4"/>
  <c r="O50" i="4" s="1"/>
  <c r="E49" i="4"/>
  <c r="E46" i="4" s="1"/>
  <c r="N16" i="4"/>
  <c r="M16" i="4"/>
  <c r="L16" i="4"/>
  <c r="E19" i="4"/>
  <c r="H39" i="4"/>
  <c r="L12" i="4" l="1"/>
  <c r="N166" i="5"/>
  <c r="M166" i="5"/>
  <c r="L166" i="5"/>
  <c r="K166" i="5"/>
  <c r="J166" i="5"/>
  <c r="I166" i="5"/>
  <c r="H166" i="5"/>
  <c r="G166" i="5"/>
  <c r="F166" i="5"/>
  <c r="E166" i="5"/>
  <c r="N165" i="5"/>
  <c r="M165" i="5"/>
  <c r="L165" i="5"/>
  <c r="K165" i="5"/>
  <c r="J165" i="5"/>
  <c r="G165" i="5"/>
  <c r="F165" i="5"/>
  <c r="K164" i="5"/>
  <c r="J164" i="5"/>
  <c r="I164" i="5"/>
  <c r="G164" i="5"/>
  <c r="F164" i="5"/>
  <c r="K163" i="5"/>
  <c r="J163" i="5"/>
  <c r="I163" i="5"/>
  <c r="G163" i="5"/>
  <c r="F163" i="5"/>
  <c r="N162" i="5"/>
  <c r="M162" i="5"/>
  <c r="L162" i="5"/>
  <c r="K162" i="5"/>
  <c r="J162" i="5"/>
  <c r="I162" i="5"/>
  <c r="G162" i="5"/>
  <c r="E162" i="5"/>
  <c r="N161" i="5"/>
  <c r="M161" i="5"/>
  <c r="K161" i="5"/>
  <c r="G161" i="5"/>
  <c r="E161" i="5"/>
  <c r="N160" i="5"/>
  <c r="M160" i="5"/>
  <c r="L160" i="5"/>
  <c r="K160" i="5"/>
  <c r="J160" i="5"/>
  <c r="I160" i="5"/>
  <c r="G160" i="5"/>
  <c r="K159" i="5"/>
  <c r="J159" i="5"/>
  <c r="I159" i="5"/>
  <c r="G159" i="5"/>
  <c r="F159" i="5"/>
  <c r="E159" i="5"/>
  <c r="K158" i="5"/>
  <c r="I158" i="5"/>
  <c r="K157" i="5"/>
  <c r="J157" i="5"/>
  <c r="H154" i="5"/>
  <c r="O144" i="5"/>
  <c r="O166" i="5" s="1"/>
  <c r="E143" i="5"/>
  <c r="E165" i="5" s="1"/>
  <c r="N142" i="5"/>
  <c r="N157" i="5" s="1"/>
  <c r="M142" i="5"/>
  <c r="M157" i="5" s="1"/>
  <c r="L142" i="5"/>
  <c r="L140" i="5" s="1"/>
  <c r="E142" i="5"/>
  <c r="H141" i="5"/>
  <c r="F141" i="5"/>
  <c r="F140" i="5" s="1"/>
  <c r="F139" i="5" s="1"/>
  <c r="E141" i="5"/>
  <c r="K140" i="5"/>
  <c r="J140" i="5"/>
  <c r="J139" i="5" s="1"/>
  <c r="I140" i="5"/>
  <c r="G140" i="5"/>
  <c r="G139" i="5" s="1"/>
  <c r="K139" i="5"/>
  <c r="I139" i="5"/>
  <c r="O138" i="5"/>
  <c r="H137" i="5"/>
  <c r="O137" i="5" s="1"/>
  <c r="H136" i="5"/>
  <c r="O136" i="5" s="1"/>
  <c r="O135" i="5"/>
  <c r="O134" i="5"/>
  <c r="F134" i="5"/>
  <c r="N133" i="5"/>
  <c r="N132" i="5" s="1"/>
  <c r="M133" i="5"/>
  <c r="M132" i="5" s="1"/>
  <c r="L133" i="5"/>
  <c r="L132" i="5" s="1"/>
  <c r="K133" i="5"/>
  <c r="K132" i="5" s="1"/>
  <c r="J133" i="5"/>
  <c r="J132" i="5" s="1"/>
  <c r="I133" i="5"/>
  <c r="H133" i="5" s="1"/>
  <c r="G133" i="5"/>
  <c r="F133" i="5"/>
  <c r="F132" i="5" s="1"/>
  <c r="E133" i="5"/>
  <c r="E132" i="5" s="1"/>
  <c r="G132" i="5"/>
  <c r="H131" i="5"/>
  <c r="O131" i="5" s="1"/>
  <c r="F131" i="5"/>
  <c r="F130" i="5" s="1"/>
  <c r="F129" i="5" s="1"/>
  <c r="N130" i="5"/>
  <c r="M130" i="5"/>
  <c r="M129" i="5" s="1"/>
  <c r="L130" i="5"/>
  <c r="H130" i="5" s="1"/>
  <c r="E130" i="5"/>
  <c r="E129" i="5" s="1"/>
  <c r="N129" i="5"/>
  <c r="K129" i="5"/>
  <c r="J129" i="5"/>
  <c r="I129" i="5"/>
  <c r="G129" i="5"/>
  <c r="H128" i="5"/>
  <c r="O128" i="5" s="1"/>
  <c r="N127" i="5"/>
  <c r="N164" i="5" s="1"/>
  <c r="M127" i="5"/>
  <c r="M164" i="5" s="1"/>
  <c r="L127" i="5"/>
  <c r="L124" i="5" s="1"/>
  <c r="H126" i="5"/>
  <c r="O126" i="5" s="1"/>
  <c r="O125" i="5"/>
  <c r="H125" i="5"/>
  <c r="F125" i="5"/>
  <c r="F124" i="5" s="1"/>
  <c r="F123" i="5" s="1"/>
  <c r="N124" i="5"/>
  <c r="M124" i="5"/>
  <c r="M123" i="5" s="1"/>
  <c r="K124" i="5"/>
  <c r="K123" i="5" s="1"/>
  <c r="J124" i="5"/>
  <c r="J123" i="5" s="1"/>
  <c r="I124" i="5"/>
  <c r="I123" i="5" s="1"/>
  <c r="G124" i="5"/>
  <c r="G123" i="5" s="1"/>
  <c r="E124" i="5"/>
  <c r="N123" i="5"/>
  <c r="H122" i="5"/>
  <c r="O122" i="5" s="1"/>
  <c r="H121" i="5"/>
  <c r="O121" i="5" s="1"/>
  <c r="L120" i="5"/>
  <c r="H120" i="5" s="1"/>
  <c r="E120" i="5"/>
  <c r="H119" i="5"/>
  <c r="O119" i="5" s="1"/>
  <c r="H118" i="5"/>
  <c r="N117" i="5"/>
  <c r="M117" i="5"/>
  <c r="L117" i="5"/>
  <c r="H117" i="5" s="1"/>
  <c r="E117" i="5"/>
  <c r="H116" i="5"/>
  <c r="O116" i="5" s="1"/>
  <c r="H115" i="5"/>
  <c r="O115" i="5" s="1"/>
  <c r="H114" i="5"/>
  <c r="O114" i="5" s="1"/>
  <c r="N113" i="5"/>
  <c r="N110" i="5" s="1"/>
  <c r="N109" i="5" s="1"/>
  <c r="M113" i="5"/>
  <c r="L113" i="5"/>
  <c r="L163" i="5" s="1"/>
  <c r="H113" i="5"/>
  <c r="O113" i="5" s="1"/>
  <c r="O112" i="5"/>
  <c r="H111" i="5"/>
  <c r="O111" i="5" s="1"/>
  <c r="F111" i="5"/>
  <c r="F110" i="5" s="1"/>
  <c r="F109" i="5" s="1"/>
  <c r="L110" i="5"/>
  <c r="L109" i="5" s="1"/>
  <c r="K110" i="5"/>
  <c r="K109" i="5" s="1"/>
  <c r="J110" i="5"/>
  <c r="J109" i="5" s="1"/>
  <c r="I110" i="5"/>
  <c r="I109" i="5" s="1"/>
  <c r="G110" i="5"/>
  <c r="G109" i="5" s="1"/>
  <c r="O108" i="5"/>
  <c r="O107" i="5"/>
  <c r="O106" i="5"/>
  <c r="O105" i="5"/>
  <c r="O104" i="5"/>
  <c r="H102" i="5"/>
  <c r="O102" i="5" s="1"/>
  <c r="F102" i="5"/>
  <c r="F101" i="5" s="1"/>
  <c r="F100" i="5" s="1"/>
  <c r="N101" i="5"/>
  <c r="N100" i="5" s="1"/>
  <c r="M101" i="5"/>
  <c r="L101" i="5"/>
  <c r="L100" i="5" s="1"/>
  <c r="K101" i="5"/>
  <c r="K100" i="5" s="1"/>
  <c r="J101" i="5"/>
  <c r="J100" i="5" s="1"/>
  <c r="I101" i="5"/>
  <c r="I100" i="5" s="1"/>
  <c r="G101" i="5"/>
  <c r="G100" i="5" s="1"/>
  <c r="E101" i="5"/>
  <c r="E100" i="5" s="1"/>
  <c r="M100" i="5"/>
  <c r="O99" i="5"/>
  <c r="H98" i="5"/>
  <c r="O98" i="5" s="1"/>
  <c r="L97" i="5"/>
  <c r="J97" i="5"/>
  <c r="J161" i="5" s="1"/>
  <c r="I97" i="5"/>
  <c r="I161" i="5" s="1"/>
  <c r="F97" i="5"/>
  <c r="H96" i="5"/>
  <c r="O96" i="5" s="1"/>
  <c r="F96" i="5"/>
  <c r="L95" i="5"/>
  <c r="L161" i="5" s="1"/>
  <c r="F95" i="5"/>
  <c r="J94" i="5"/>
  <c r="J158" i="5" s="1"/>
  <c r="H94" i="5"/>
  <c r="O94" i="5" s="1"/>
  <c r="F94" i="5"/>
  <c r="O93" i="5"/>
  <c r="F93" i="5"/>
  <c r="N92" i="5"/>
  <c r="N91" i="5" s="1"/>
  <c r="M92" i="5"/>
  <c r="M91" i="5" s="1"/>
  <c r="K92" i="5"/>
  <c r="K91" i="5" s="1"/>
  <c r="G92" i="5"/>
  <c r="G91" i="5" s="1"/>
  <c r="E92" i="5"/>
  <c r="E91" i="5" s="1"/>
  <c r="O90" i="5"/>
  <c r="O89" i="5"/>
  <c r="H88" i="5"/>
  <c r="O88" i="5" s="1"/>
  <c r="F88" i="5"/>
  <c r="F87" i="5" s="1"/>
  <c r="F86" i="5" s="1"/>
  <c r="N87" i="5"/>
  <c r="N86" i="5" s="1"/>
  <c r="M87" i="5"/>
  <c r="M86" i="5" s="1"/>
  <c r="L87" i="5"/>
  <c r="L86" i="5" s="1"/>
  <c r="K87" i="5"/>
  <c r="K86" i="5" s="1"/>
  <c r="J87" i="5"/>
  <c r="J86" i="5" s="1"/>
  <c r="I87" i="5"/>
  <c r="I86" i="5" s="1"/>
  <c r="E87" i="5"/>
  <c r="E86" i="5" s="1"/>
  <c r="O85" i="5"/>
  <c r="E84" i="5"/>
  <c r="O84" i="5" s="1"/>
  <c r="O83" i="5"/>
  <c r="F81" i="5"/>
  <c r="E81" i="5"/>
  <c r="O81" i="5" s="1"/>
  <c r="H80" i="5"/>
  <c r="O80" i="5" s="1"/>
  <c r="F80" i="5"/>
  <c r="F160" i="5" s="1"/>
  <c r="O79" i="5"/>
  <c r="O78" i="5"/>
  <c r="O77" i="5"/>
  <c r="O76" i="5"/>
  <c r="O75" i="5"/>
  <c r="O74" i="5"/>
  <c r="O73" i="5"/>
  <c r="E72" i="5"/>
  <c r="O72" i="5" s="1"/>
  <c r="O71" i="5"/>
  <c r="O70" i="5"/>
  <c r="O69" i="5"/>
  <c r="O68" i="5"/>
  <c r="O67" i="5"/>
  <c r="O66" i="5"/>
  <c r="O65" i="5"/>
  <c r="O64" i="5"/>
  <c r="H63" i="5"/>
  <c r="O63" i="5" s="1"/>
  <c r="F63" i="5"/>
  <c r="N62" i="5"/>
  <c r="N61" i="5" s="1"/>
  <c r="M62" i="5"/>
  <c r="M61" i="5" s="1"/>
  <c r="L62" i="5"/>
  <c r="L61" i="5" s="1"/>
  <c r="K62" i="5"/>
  <c r="K61" i="5" s="1"/>
  <c r="J62" i="5"/>
  <c r="J61" i="5" s="1"/>
  <c r="I62" i="5"/>
  <c r="I61" i="5" s="1"/>
  <c r="G62" i="5"/>
  <c r="G61" i="5" s="1"/>
  <c r="H60" i="5"/>
  <c r="H162" i="5" s="1"/>
  <c r="F60" i="5"/>
  <c r="F162" i="5" s="1"/>
  <c r="H59" i="5"/>
  <c r="O59" i="5" s="1"/>
  <c r="H58" i="5"/>
  <c r="O58" i="5" s="1"/>
  <c r="H56" i="5"/>
  <c r="G56" i="5"/>
  <c r="G158" i="5" s="1"/>
  <c r="F56" i="5"/>
  <c r="E56" i="5"/>
  <c r="H55" i="5"/>
  <c r="F55" i="5"/>
  <c r="E55" i="5"/>
  <c r="E158" i="5" s="1"/>
  <c r="H54" i="5"/>
  <c r="O54" i="5" s="1"/>
  <c r="L53" i="5"/>
  <c r="H53" i="5" s="1"/>
  <c r="O53" i="5" s="1"/>
  <c r="F53" i="5"/>
  <c r="H52" i="5"/>
  <c r="O52" i="5" s="1"/>
  <c r="O51" i="5"/>
  <c r="H51" i="5"/>
  <c r="F51" i="5"/>
  <c r="H50" i="5"/>
  <c r="O50" i="5" s="1"/>
  <c r="H49" i="5"/>
  <c r="O49" i="5" s="1"/>
  <c r="F49" i="5"/>
  <c r="H48" i="5"/>
  <c r="O48" i="5" s="1"/>
  <c r="N47" i="5"/>
  <c r="M47" i="5"/>
  <c r="L47" i="5"/>
  <c r="H47" i="5"/>
  <c r="O47" i="5" s="1"/>
  <c r="F47" i="5"/>
  <c r="N46" i="5"/>
  <c r="M46" i="5"/>
  <c r="L46" i="5"/>
  <c r="H46" i="5" s="1"/>
  <c r="F46" i="5"/>
  <c r="H45" i="5"/>
  <c r="O45" i="5" s="1"/>
  <c r="F45" i="5"/>
  <c r="K44" i="5"/>
  <c r="J44" i="5"/>
  <c r="J43" i="5" s="1"/>
  <c r="I44" i="5"/>
  <c r="I43" i="5" s="1"/>
  <c r="K43" i="5"/>
  <c r="E42" i="5"/>
  <c r="O42" i="5" s="1"/>
  <c r="H41" i="5"/>
  <c r="O41" i="5" s="1"/>
  <c r="F41" i="5"/>
  <c r="N40" i="5"/>
  <c r="N39" i="5" s="1"/>
  <c r="M40" i="5"/>
  <c r="M39" i="5" s="1"/>
  <c r="L40" i="5"/>
  <c r="L39" i="5" s="1"/>
  <c r="K40" i="5"/>
  <c r="K39" i="5" s="1"/>
  <c r="J40" i="5"/>
  <c r="J39" i="5" s="1"/>
  <c r="I40" i="5"/>
  <c r="I39" i="5" s="1"/>
  <c r="H40" i="5"/>
  <c r="H39" i="5" s="1"/>
  <c r="G40" i="5"/>
  <c r="F40" i="5"/>
  <c r="E40" i="5"/>
  <c r="G39" i="5"/>
  <c r="F39" i="5"/>
  <c r="E38" i="5"/>
  <c r="O38" i="5" s="1"/>
  <c r="O37" i="5"/>
  <c r="F37" i="5"/>
  <c r="F36" i="5" s="1"/>
  <c r="F35" i="5" s="1"/>
  <c r="N36" i="5"/>
  <c r="N35" i="5" s="1"/>
  <c r="M36" i="5"/>
  <c r="M35" i="5" s="1"/>
  <c r="L36" i="5"/>
  <c r="L35" i="5" s="1"/>
  <c r="K36" i="5"/>
  <c r="K35" i="5" s="1"/>
  <c r="J36" i="5"/>
  <c r="J35" i="5" s="1"/>
  <c r="I36" i="5"/>
  <c r="I35" i="5" s="1"/>
  <c r="H36" i="5"/>
  <c r="H35" i="5" s="1"/>
  <c r="G36" i="5"/>
  <c r="G35" i="5" s="1"/>
  <c r="E36" i="5"/>
  <c r="E35" i="5" s="1"/>
  <c r="H34" i="5"/>
  <c r="E34" i="5"/>
  <c r="O34" i="5" s="1"/>
  <c r="H33" i="5"/>
  <c r="O33" i="5" s="1"/>
  <c r="F33" i="5"/>
  <c r="N32" i="5"/>
  <c r="N31" i="5" s="1"/>
  <c r="M32" i="5"/>
  <c r="M31" i="5" s="1"/>
  <c r="L32" i="5"/>
  <c r="L31" i="5" s="1"/>
  <c r="I32" i="5"/>
  <c r="G32" i="5"/>
  <c r="G31" i="5" s="1"/>
  <c r="F32" i="5"/>
  <c r="F31" i="5" s="1"/>
  <c r="O30" i="5"/>
  <c r="I29" i="5"/>
  <c r="I165" i="5" s="1"/>
  <c r="O28" i="5"/>
  <c r="O27" i="5"/>
  <c r="O26" i="5"/>
  <c r="O25" i="5"/>
  <c r="E24" i="5"/>
  <c r="O24" i="5" s="1"/>
  <c r="O23" i="5"/>
  <c r="O22" i="5"/>
  <c r="O21" i="5"/>
  <c r="O20" i="5"/>
  <c r="H20" i="5"/>
  <c r="N19" i="5"/>
  <c r="N159" i="5" s="1"/>
  <c r="M19" i="5"/>
  <c r="M15" i="5" s="1"/>
  <c r="M14" i="5" s="1"/>
  <c r="L19" i="5"/>
  <c r="L159" i="5" s="1"/>
  <c r="O18" i="5"/>
  <c r="O17" i="5"/>
  <c r="L16" i="5"/>
  <c r="L157" i="5" s="1"/>
  <c r="I16" i="5"/>
  <c r="H16" i="5" s="1"/>
  <c r="G16" i="5"/>
  <c r="G15" i="5" s="1"/>
  <c r="G14" i="5" s="1"/>
  <c r="F16" i="5"/>
  <c r="E16" i="5"/>
  <c r="E157" i="5" s="1"/>
  <c r="K15" i="5"/>
  <c r="K14" i="5" s="1"/>
  <c r="J15" i="5"/>
  <c r="J14" i="5" s="1"/>
  <c r="F15" i="5"/>
  <c r="F14" i="5" s="1"/>
  <c r="J12" i="4"/>
  <c r="K12" i="4"/>
  <c r="M12" i="4"/>
  <c r="N12" i="4"/>
  <c r="I12" i="4"/>
  <c r="H25" i="4"/>
  <c r="H165" i="4"/>
  <c r="N125" i="4"/>
  <c r="N116" i="4" s="1"/>
  <c r="M125" i="4"/>
  <c r="M116" i="4" s="1"/>
  <c r="L125" i="4"/>
  <c r="L116" i="4" s="1"/>
  <c r="O36" i="5" l="1"/>
  <c r="L164" i="5"/>
  <c r="E44" i="5"/>
  <c r="E43" i="5" s="1"/>
  <c r="F44" i="5"/>
  <c r="F43" i="5" s="1"/>
  <c r="M158" i="5"/>
  <c r="O55" i="5"/>
  <c r="H101" i="5"/>
  <c r="H100" i="5" s="1"/>
  <c r="O100" i="5" s="1"/>
  <c r="M110" i="5"/>
  <c r="M109" i="5" s="1"/>
  <c r="E110" i="5"/>
  <c r="N44" i="5"/>
  <c r="N43" i="5" s="1"/>
  <c r="F92" i="5"/>
  <c r="F91" i="5" s="1"/>
  <c r="H97" i="5"/>
  <c r="O97" i="5" s="1"/>
  <c r="O40" i="5"/>
  <c r="I157" i="5"/>
  <c r="O56" i="5"/>
  <c r="L92" i="5"/>
  <c r="L91" i="5" s="1"/>
  <c r="F161" i="5"/>
  <c r="H127" i="5"/>
  <c r="O127" i="5" s="1"/>
  <c r="M140" i="5"/>
  <c r="M139" i="5" s="1"/>
  <c r="F157" i="5"/>
  <c r="M145" i="5"/>
  <c r="L129" i="5"/>
  <c r="N15" i="5"/>
  <c r="N14" i="5" s="1"/>
  <c r="H32" i="5"/>
  <c r="H31" i="5" s="1"/>
  <c r="O35" i="5"/>
  <c r="G44" i="5"/>
  <c r="G43" i="5" s="1"/>
  <c r="G145" i="5" s="1"/>
  <c r="M44" i="5"/>
  <c r="M43" i="5" s="1"/>
  <c r="F158" i="5"/>
  <c r="O60" i="5"/>
  <c r="O162" i="5" s="1"/>
  <c r="F62" i="5"/>
  <c r="F61" i="5" s="1"/>
  <c r="F145" i="5" s="1"/>
  <c r="H95" i="5"/>
  <c r="H161" i="5" s="1"/>
  <c r="M163" i="5"/>
  <c r="O117" i="5"/>
  <c r="O163" i="5" s="1"/>
  <c r="O120" i="5"/>
  <c r="I132" i="5"/>
  <c r="O141" i="5"/>
  <c r="N163" i="5"/>
  <c r="E109" i="5"/>
  <c r="O133" i="5"/>
  <c r="O132" i="5" s="1"/>
  <c r="H132" i="5"/>
  <c r="H124" i="5"/>
  <c r="H123" i="5" s="1"/>
  <c r="L123" i="5"/>
  <c r="O160" i="5"/>
  <c r="O46" i="5"/>
  <c r="H158" i="5"/>
  <c r="H129" i="5"/>
  <c r="O130" i="5"/>
  <c r="O129" i="5" s="1"/>
  <c r="L139" i="5"/>
  <c r="H140" i="5"/>
  <c r="H139" i="5" s="1"/>
  <c r="H157" i="5"/>
  <c r="K145" i="5"/>
  <c r="H163" i="5"/>
  <c r="O124" i="5"/>
  <c r="O123" i="5" s="1"/>
  <c r="M159" i="5"/>
  <c r="I15" i="5"/>
  <c r="H19" i="5"/>
  <c r="H29" i="5"/>
  <c r="I31" i="5"/>
  <c r="H87" i="5"/>
  <c r="E164" i="5"/>
  <c r="N140" i="5"/>
  <c r="N139" i="5" s="1"/>
  <c r="N145" i="5" s="1"/>
  <c r="N158" i="5"/>
  <c r="H160" i="5"/>
  <c r="E123" i="5"/>
  <c r="E140" i="5"/>
  <c r="H142" i="5"/>
  <c r="O142" i="5" s="1"/>
  <c r="E39" i="5"/>
  <c r="O39" i="5" s="1"/>
  <c r="O16" i="5"/>
  <c r="O157" i="5" s="1"/>
  <c r="E32" i="5"/>
  <c r="J92" i="5"/>
  <c r="J91" i="5" s="1"/>
  <c r="J145" i="5" s="1"/>
  <c r="H110" i="5"/>
  <c r="H109" i="5" s="1"/>
  <c r="G157" i="5"/>
  <c r="L158" i="5"/>
  <c r="E163" i="5"/>
  <c r="H62" i="5"/>
  <c r="H61" i="5" s="1"/>
  <c r="E15" i="5"/>
  <c r="I92" i="5"/>
  <c r="O95" i="5"/>
  <c r="O161" i="5" s="1"/>
  <c r="O143" i="5"/>
  <c r="E160" i="5"/>
  <c r="E153" i="5" s="1"/>
  <c r="L15" i="5"/>
  <c r="L14" i="5" s="1"/>
  <c r="L44" i="5"/>
  <c r="E62" i="5"/>
  <c r="O118" i="5"/>
  <c r="O164" i="5" s="1"/>
  <c r="E17" i="4"/>
  <c r="H19" i="4"/>
  <c r="H20" i="4"/>
  <c r="O20" i="4" s="1"/>
  <c r="H164" i="5" l="1"/>
  <c r="O101" i="5"/>
  <c r="O158" i="5"/>
  <c r="H86" i="5"/>
  <c r="O87" i="5"/>
  <c r="O86" i="5" s="1"/>
  <c r="O62" i="5"/>
  <c r="E61" i="5"/>
  <c r="O61" i="5" s="1"/>
  <c r="E14" i="5"/>
  <c r="E31" i="5"/>
  <c r="O31" i="5" s="1"/>
  <c r="O32" i="5"/>
  <c r="H92" i="5"/>
  <c r="I91" i="5"/>
  <c r="O109" i="5"/>
  <c r="H44" i="5"/>
  <c r="L43" i="5"/>
  <c r="E139" i="5"/>
  <c r="O140" i="5"/>
  <c r="O139" i="5" s="1"/>
  <c r="O29" i="5"/>
  <c r="O165" i="5" s="1"/>
  <c r="H165" i="5"/>
  <c r="O110" i="5"/>
  <c r="H15" i="5"/>
  <c r="H14" i="5" s="1"/>
  <c r="I14" i="5"/>
  <c r="H159" i="5"/>
  <c r="O19" i="5"/>
  <c r="O159" i="5" s="1"/>
  <c r="L145" i="5"/>
  <c r="O19" i="4"/>
  <c r="H17" i="4"/>
  <c r="O17" i="4" s="1"/>
  <c r="O92" i="5" l="1"/>
  <c r="O91" i="5" s="1"/>
  <c r="H91" i="5"/>
  <c r="O14" i="5"/>
  <c r="E145" i="5"/>
  <c r="H43" i="5"/>
  <c r="O43" i="5" s="1"/>
  <c r="O44" i="5"/>
  <c r="I145" i="5"/>
  <c r="H145" i="5" s="1"/>
  <c r="O15" i="5"/>
  <c r="E12" i="4"/>
  <c r="O25" i="4"/>
  <c r="J116" i="4"/>
  <c r="K116" i="4"/>
  <c r="I116" i="4"/>
  <c r="J157" i="4"/>
  <c r="K157" i="4"/>
  <c r="I157" i="4"/>
  <c r="F157" i="4"/>
  <c r="G157" i="4"/>
  <c r="O165" i="4"/>
  <c r="J142" i="4"/>
  <c r="K142" i="4"/>
  <c r="L142" i="4"/>
  <c r="M142" i="4"/>
  <c r="N142" i="4"/>
  <c r="I142" i="4"/>
  <c r="F142" i="4"/>
  <c r="G142" i="4"/>
  <c r="E142" i="4"/>
  <c r="H145" i="4"/>
  <c r="O145" i="4" s="1"/>
  <c r="H123" i="4"/>
  <c r="O123" i="4" s="1"/>
  <c r="H124" i="4"/>
  <c r="O124" i="4" s="1"/>
  <c r="N103" i="4"/>
  <c r="M103" i="4"/>
  <c r="L103" i="4"/>
  <c r="N102" i="4"/>
  <c r="M102" i="4"/>
  <c r="L102" i="4"/>
  <c r="H144" i="4"/>
  <c r="O144" i="4" s="1"/>
  <c r="E108" i="4"/>
  <c r="E107" i="4" s="1"/>
  <c r="E98" i="4"/>
  <c r="J107" i="4"/>
  <c r="K107" i="4"/>
  <c r="L107" i="4"/>
  <c r="M107" i="4"/>
  <c r="N107" i="4"/>
  <c r="I107" i="4"/>
  <c r="G107" i="4"/>
  <c r="J67" i="4"/>
  <c r="K67" i="4"/>
  <c r="L67" i="4"/>
  <c r="M67" i="4"/>
  <c r="N67" i="4"/>
  <c r="I67" i="4"/>
  <c r="G67" i="4"/>
  <c r="J46" i="4"/>
  <c r="K46" i="4"/>
  <c r="I46" i="4"/>
  <c r="O105" i="4"/>
  <c r="K98" i="4"/>
  <c r="N98" i="4"/>
  <c r="G98" i="4"/>
  <c r="H133" i="4"/>
  <c r="O133" i="4" s="1"/>
  <c r="M98" i="4" l="1"/>
  <c r="O145" i="5"/>
  <c r="H107" i="4"/>
  <c r="O23" i="4" l="1"/>
  <c r="O22" i="4"/>
  <c r="G116" i="4" l="1"/>
  <c r="H130" i="4" l="1"/>
  <c r="O130" i="4" s="1"/>
  <c r="O29" i="4"/>
  <c r="O32" i="4"/>
  <c r="G135" i="4"/>
  <c r="E135" i="4"/>
  <c r="O30" i="4"/>
  <c r="O118" i="4" l="1"/>
  <c r="J147" i="4" l="1"/>
  <c r="K147" i="4"/>
  <c r="L147" i="4"/>
  <c r="M147" i="4"/>
  <c r="N147" i="4"/>
  <c r="I147" i="4"/>
  <c r="G147" i="4"/>
  <c r="E147" i="4"/>
  <c r="H151" i="4"/>
  <c r="O151" i="4" s="1"/>
  <c r="H120" i="4"/>
  <c r="O120" i="4" s="1"/>
  <c r="H121" i="4"/>
  <c r="O121" i="4" s="1"/>
  <c r="H122" i="4"/>
  <c r="O122" i="4" s="1"/>
  <c r="L98" i="4" l="1"/>
  <c r="O15" i="4"/>
  <c r="O26" i="4" l="1"/>
  <c r="H31" i="4" l="1"/>
  <c r="H117" i="4"/>
  <c r="H119" i="4"/>
  <c r="H125" i="4"/>
  <c r="H132" i="4"/>
  <c r="H131" i="4"/>
  <c r="H116" i="4"/>
  <c r="H86" i="4"/>
  <c r="H68" i="4"/>
  <c r="O28" i="4"/>
  <c r="O14" i="4"/>
  <c r="O86" i="4" l="1"/>
  <c r="O89" i="4"/>
  <c r="O90" i="4"/>
  <c r="O149" i="4" l="1"/>
  <c r="J146" i="4"/>
  <c r="K146" i="4"/>
  <c r="I146" i="4"/>
  <c r="H159" i="4"/>
  <c r="H47" i="4"/>
  <c r="H48" i="4"/>
  <c r="H49" i="4"/>
  <c r="H51" i="4"/>
  <c r="H52" i="4"/>
  <c r="H53" i="4"/>
  <c r="H54" i="4"/>
  <c r="H56" i="4"/>
  <c r="H57" i="4"/>
  <c r="H58" i="4"/>
  <c r="H59" i="4"/>
  <c r="H60" i="4"/>
  <c r="H62" i="4"/>
  <c r="H63" i="4"/>
  <c r="H64" i="4"/>
  <c r="H147" i="4" l="1"/>
  <c r="H150" i="4" l="1"/>
  <c r="O150" i="4" s="1"/>
  <c r="G146" i="4"/>
  <c r="H100" i="4"/>
  <c r="H101" i="4"/>
  <c r="H102" i="4"/>
  <c r="H104" i="4"/>
  <c r="I98" i="4" l="1"/>
  <c r="H98" i="4" s="1"/>
  <c r="J98" i="4"/>
  <c r="O100" i="4"/>
  <c r="H103" i="4"/>
  <c r="H43" i="4" l="1"/>
  <c r="H42" i="4" s="1"/>
  <c r="I42" i="4"/>
  <c r="J42" i="4"/>
  <c r="J41" i="4" s="1"/>
  <c r="K42" i="4"/>
  <c r="K41" i="4" s="1"/>
  <c r="L42" i="4"/>
  <c r="L41" i="4" s="1"/>
  <c r="M42" i="4"/>
  <c r="M41" i="4" s="1"/>
  <c r="N42" i="4"/>
  <c r="N41" i="4" s="1"/>
  <c r="I106" i="4" l="1"/>
  <c r="J106" i="4"/>
  <c r="K106" i="4"/>
  <c r="J93" i="4"/>
  <c r="J92" i="4" s="1"/>
  <c r="K93" i="4"/>
  <c r="K92" i="4" s="1"/>
  <c r="L93" i="4"/>
  <c r="L92" i="4" s="1"/>
  <c r="M93" i="4"/>
  <c r="M92" i="4" s="1"/>
  <c r="N93" i="4"/>
  <c r="N92" i="4" s="1"/>
  <c r="I93" i="4"/>
  <c r="I92" i="4" s="1"/>
  <c r="H94" i="4"/>
  <c r="F135" i="4"/>
  <c r="H140" i="4"/>
  <c r="H137" i="4"/>
  <c r="O137" i="4" s="1"/>
  <c r="H138" i="4"/>
  <c r="O138" i="4" l="1"/>
  <c r="O140" i="4"/>
  <c r="H93" i="4"/>
  <c r="H92" i="4" s="1"/>
  <c r="G46" i="4" l="1"/>
  <c r="F147" i="4"/>
  <c r="F116" i="4"/>
  <c r="F107" i="4"/>
  <c r="E11" i="4" l="1"/>
  <c r="F98" i="4"/>
  <c r="F67" i="4" l="1"/>
  <c r="O114" i="4"/>
  <c r="O113" i="4"/>
  <c r="O112" i="4"/>
  <c r="O111" i="4"/>
  <c r="O110" i="4"/>
  <c r="N106" i="4"/>
  <c r="M106" i="4"/>
  <c r="L106" i="4"/>
  <c r="F106" i="4"/>
  <c r="G106" i="4"/>
  <c r="F46" i="4" l="1"/>
  <c r="H108" i="4"/>
  <c r="H106" i="4" s="1"/>
  <c r="F12" i="4" l="1"/>
  <c r="F11" i="4" s="1"/>
  <c r="G12" i="4"/>
  <c r="G11" i="4" s="1"/>
  <c r="O107" i="4"/>
  <c r="O108" i="4"/>
  <c r="E106" i="4" l="1"/>
  <c r="O106" i="4" s="1"/>
  <c r="K11" i="4" l="1"/>
  <c r="N11" i="4" l="1"/>
  <c r="M11" i="4"/>
  <c r="L11" i="4"/>
  <c r="I38" i="4" l="1"/>
  <c r="I37" i="4" s="1"/>
  <c r="J38" i="4"/>
  <c r="J37" i="4" s="1"/>
  <c r="K38" i="4"/>
  <c r="K37" i="4" s="1"/>
  <c r="L38" i="4"/>
  <c r="L37" i="4" s="1"/>
  <c r="M38" i="4"/>
  <c r="M37" i="4" s="1"/>
  <c r="N38" i="4"/>
  <c r="N37" i="4" s="1"/>
  <c r="H38" i="4"/>
  <c r="H37" i="4" s="1"/>
  <c r="I11" i="4" l="1"/>
  <c r="H12" i="4" l="1"/>
  <c r="O31" i="4"/>
  <c r="O161" i="4"/>
  <c r="O160" i="4"/>
  <c r="O159" i="4"/>
  <c r="N156" i="4"/>
  <c r="M156" i="4"/>
  <c r="H158" i="4"/>
  <c r="O158" i="4" s="1"/>
  <c r="F156" i="4"/>
  <c r="E156" i="4"/>
  <c r="K156" i="4"/>
  <c r="J156" i="4"/>
  <c r="I156" i="4"/>
  <c r="G156" i="4"/>
  <c r="N141" i="4"/>
  <c r="M141" i="4"/>
  <c r="H143" i="4"/>
  <c r="O143" i="4" s="1"/>
  <c r="F141" i="4"/>
  <c r="K141" i="4"/>
  <c r="J141" i="4"/>
  <c r="I141" i="4"/>
  <c r="G141" i="4"/>
  <c r="N134" i="4"/>
  <c r="M134" i="4"/>
  <c r="I134" i="4"/>
  <c r="F134" i="4"/>
  <c r="E134" i="4"/>
  <c r="K134" i="4"/>
  <c r="J134" i="4"/>
  <c r="G134" i="4"/>
  <c r="O152" i="4"/>
  <c r="E146" i="4"/>
  <c r="F146" i="4"/>
  <c r="O131" i="4"/>
  <c r="K115" i="4"/>
  <c r="J115" i="4"/>
  <c r="I115" i="4"/>
  <c r="G115" i="4"/>
  <c r="F115" i="4"/>
  <c r="O104" i="4"/>
  <c r="O99" i="4"/>
  <c r="J97" i="4"/>
  <c r="I97" i="4"/>
  <c r="G97" i="4"/>
  <c r="K97" i="4"/>
  <c r="O96" i="4"/>
  <c r="O95" i="4"/>
  <c r="O94" i="4"/>
  <c r="F93" i="4"/>
  <c r="F92" i="4" s="1"/>
  <c r="E93" i="4"/>
  <c r="O93" i="4" s="1"/>
  <c r="O92" i="4" s="1"/>
  <c r="O91" i="4"/>
  <c r="O87" i="4"/>
  <c r="O63" i="4"/>
  <c r="O62" i="4"/>
  <c r="O60" i="4"/>
  <c r="O58" i="4"/>
  <c r="O56" i="4"/>
  <c r="O53" i="4"/>
  <c r="O52" i="4"/>
  <c r="O51" i="4"/>
  <c r="O47" i="4"/>
  <c r="K45" i="4"/>
  <c r="J45" i="4"/>
  <c r="G45" i="4"/>
  <c r="O44" i="4"/>
  <c r="O43" i="4"/>
  <c r="E42" i="4"/>
  <c r="I41" i="4"/>
  <c r="G42" i="4"/>
  <c r="G41" i="4" s="1"/>
  <c r="F42" i="4"/>
  <c r="F41" i="4" s="1"/>
  <c r="O40" i="4"/>
  <c r="F38" i="4"/>
  <c r="F37" i="4" s="1"/>
  <c r="E38" i="4"/>
  <c r="G38" i="4"/>
  <c r="G37" i="4" s="1"/>
  <c r="H36" i="4"/>
  <c r="H35" i="4"/>
  <c r="F34" i="4"/>
  <c r="F33" i="4" s="1"/>
  <c r="N34" i="4"/>
  <c r="N33" i="4" s="1"/>
  <c r="M34" i="4"/>
  <c r="M33" i="4" s="1"/>
  <c r="L34" i="4"/>
  <c r="L33" i="4" s="1"/>
  <c r="I34" i="4"/>
  <c r="I33" i="4" s="1"/>
  <c r="G34" i="4"/>
  <c r="E34" i="4"/>
  <c r="O27" i="4"/>
  <c r="O24" i="4"/>
  <c r="J11" i="4"/>
  <c r="H13" i="4"/>
  <c r="H11" i="4" l="1"/>
  <c r="O12" i="4"/>
  <c r="O36" i="4"/>
  <c r="K66" i="4"/>
  <c r="M66" i="4"/>
  <c r="J66" i="4"/>
  <c r="J170" i="4" s="1"/>
  <c r="H67" i="4"/>
  <c r="O67" i="4" s="1"/>
  <c r="G66" i="4"/>
  <c r="F66" i="4"/>
  <c r="N66" i="4"/>
  <c r="I66" i="4"/>
  <c r="L66" i="4"/>
  <c r="O68" i="4"/>
  <c r="I45" i="4"/>
  <c r="M146" i="4"/>
  <c r="M97" i="4"/>
  <c r="L146" i="4"/>
  <c r="O132" i="4"/>
  <c r="N45" i="4"/>
  <c r="F97" i="4"/>
  <c r="H41" i="4"/>
  <c r="O64" i="4"/>
  <c r="H157" i="4"/>
  <c r="H156" i="4" s="1"/>
  <c r="M45" i="4"/>
  <c r="N115" i="4"/>
  <c r="O117" i="4"/>
  <c r="O125" i="4"/>
  <c r="O102" i="4"/>
  <c r="E45" i="4"/>
  <c r="O59" i="4"/>
  <c r="H21" i="4"/>
  <c r="O21" i="4" s="1"/>
  <c r="L45" i="4"/>
  <c r="L134" i="4"/>
  <c r="E141" i="4"/>
  <c r="F45" i="4"/>
  <c r="O101" i="4"/>
  <c r="O54" i="4"/>
  <c r="O35" i="4"/>
  <c r="E92" i="4"/>
  <c r="O119" i="4"/>
  <c r="N146" i="4"/>
  <c r="O13" i="4"/>
  <c r="N97" i="4"/>
  <c r="O103" i="4"/>
  <c r="H34" i="4"/>
  <c r="H33" i="4" s="1"/>
  <c r="E41" i="4"/>
  <c r="O38" i="4"/>
  <c r="E37" i="4"/>
  <c r="O37" i="4" s="1"/>
  <c r="O48" i="4"/>
  <c r="G33" i="4"/>
  <c r="O39" i="4"/>
  <c r="O57" i="4"/>
  <c r="H136" i="4"/>
  <c r="O136" i="4" s="1"/>
  <c r="O49" i="4"/>
  <c r="E33" i="4"/>
  <c r="E97" i="4"/>
  <c r="H16" i="4"/>
  <c r="N170" i="4" l="1"/>
  <c r="E66" i="4"/>
  <c r="H66" i="4"/>
  <c r="K170" i="4"/>
  <c r="G170" i="4"/>
  <c r="I170" i="4"/>
  <c r="F170" i="4"/>
  <c r="H46" i="4"/>
  <c r="H97" i="4"/>
  <c r="O16" i="4"/>
  <c r="L156" i="4"/>
  <c r="O157" i="4"/>
  <c r="O156" i="4" s="1"/>
  <c r="O41" i="4"/>
  <c r="O42" i="4"/>
  <c r="H135" i="4"/>
  <c r="H134" i="4" s="1"/>
  <c r="L115" i="4"/>
  <c r="O148" i="4"/>
  <c r="L141" i="4"/>
  <c r="H142" i="4"/>
  <c r="H115" i="4"/>
  <c r="L97" i="4"/>
  <c r="O33" i="4"/>
  <c r="O98" i="4"/>
  <c r="O97" i="4" s="1"/>
  <c r="O34" i="4"/>
  <c r="E115" i="4"/>
  <c r="L170" i="4" l="1"/>
  <c r="H170" i="4" s="1"/>
  <c r="E170" i="4"/>
  <c r="M115" i="4"/>
  <c r="M170" i="4" s="1"/>
  <c r="O66" i="4"/>
  <c r="O135" i="4"/>
  <c r="O134" i="4" s="1"/>
  <c r="O147" i="4"/>
  <c r="O146" i="4" s="1"/>
  <c r="H146" i="4"/>
  <c r="H45" i="4"/>
  <c r="O46" i="4"/>
  <c r="H141" i="4"/>
  <c r="O142" i="4"/>
  <c r="O141" i="4" s="1"/>
  <c r="O115" i="4"/>
  <c r="O116" i="4"/>
  <c r="O11" i="4"/>
  <c r="O45" i="4" l="1"/>
  <c r="O170" i="4"/>
</calcChain>
</file>

<file path=xl/comments1.xml><?xml version="1.0" encoding="utf-8"?>
<comments xmlns="http://schemas.openxmlformats.org/spreadsheetml/2006/main">
  <authors>
    <author>User</author>
  </authors>
  <commentList>
    <comment ref="E17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sharedStrings.xml><?xml version="1.0" encoding="utf-8"?>
<sst xmlns="http://schemas.openxmlformats.org/spreadsheetml/2006/main" count="2152" uniqueCount="462">
  <si>
    <t>(тис.грн.)</t>
  </si>
  <si>
    <t>Видатки загального фонду</t>
  </si>
  <si>
    <t>Всього</t>
  </si>
  <si>
    <t>з них</t>
  </si>
  <si>
    <t>оплата праці</t>
  </si>
  <si>
    <t>комунальні послуги та енергоносії</t>
  </si>
  <si>
    <t>Видатки спеціального фонду</t>
  </si>
  <si>
    <t>споживання</t>
  </si>
  <si>
    <t>розвитку</t>
  </si>
  <si>
    <t>бюджет розвитку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</si>
  <si>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</si>
  <si>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</si>
  <si>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Резервний фонд </t>
  </si>
  <si>
    <t>Реверсна дотація</t>
  </si>
  <si>
    <t>Відділ освіти Чорноморської  міської ради Одеської області</t>
  </si>
  <si>
    <t>Відділ  культури Чорноморської міської ради  Одеської області</t>
  </si>
  <si>
    <t>Фінансове управління Чорноморської міської ради Одеської області</t>
  </si>
  <si>
    <t>Бурлачобалківська сільська адміністрація Чорноморської міської ради Одеської області</t>
  </si>
  <si>
    <t>Відділ у справах сім`ї , молоді та спорту Чорноморської  міської ради Одеської області</t>
  </si>
  <si>
    <t>Малодолинська сільська адміністрація Чорноморської міської ради Одеської області</t>
  </si>
  <si>
    <t>Управління соціальної політики Чорноморської  міської ради Одеської області</t>
  </si>
  <si>
    <t>Служба у справах дітей Чорноморської  міської ради  Одеської області</t>
  </si>
  <si>
    <t>Відділ комунального господарства і благоустрою Чорноморської  міської ради Одеської області</t>
  </si>
  <si>
    <t>Управління комунальної  власності  та земельних відносин Чорноморської  міської ради Одеської області</t>
  </si>
  <si>
    <t>Управління архітектури та містобудування Чорноморської  міської ради Одеської області</t>
  </si>
  <si>
    <t>Виконавчий комітет Чорноморської міської ради Одеської області</t>
  </si>
  <si>
    <t xml:space="preserve">в тому числі оплата праці з нарахуваннями педагогічних працівників у таких типах навчальних закладів за рахунок освітньої  субвенції </t>
  </si>
  <si>
    <t>Управління капітального будівництва Чорноморської міської ради Одеської області</t>
  </si>
  <si>
    <t>Код програмної класифікації видатків та кредитування місцевих бюджетів</t>
  </si>
  <si>
    <t>Код ТПКВКМБ /
ТКВКБМС</t>
  </si>
  <si>
    <t>15=5+8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</si>
  <si>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</si>
  <si>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0111</t>
  </si>
  <si>
    <t>1090</t>
  </si>
  <si>
    <t>0830</t>
  </si>
  <si>
    <t>0411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</si>
  <si>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</si>
  <si>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</si>
  <si>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</si>
  <si>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</si>
  <si>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</si>
  <si>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</si>
  <si>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</si>
  <si>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</si>
  <si>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</si>
  <si>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</si>
  <si>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</si>
  <si>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</si>
  <si>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освiти вечiрнiми (змiнними) школами</t>
  </si>
  <si>
    <t>0922</t>
  </si>
  <si>
    <t>0960</t>
  </si>
  <si>
    <t>Надання позашкільної освіти позашкільними закладами освіти, заходи із позашкільної роботи з дітьми</t>
  </si>
  <si>
    <t>0950</t>
  </si>
  <si>
    <t>0990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</si>
  <si>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</si>
  <si>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</si>
  <si>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</si>
  <si>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</si>
  <si>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</si>
  <si>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</si>
  <si>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</si>
  <si>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3140</t>
  </si>
  <si>
    <t>1113140</t>
  </si>
  <si>
    <t>Заходи державної політики з питань сім'ї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</si>
  <si>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</si>
  <si>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</si>
  <si>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</si>
  <si>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</si>
  <si>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</si>
  <si>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</si>
  <si>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</si>
  <si>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</si>
  <si>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3011</t>
  </si>
  <si>
    <t>3021</t>
  </si>
  <si>
    <t>3031</t>
  </si>
  <si>
    <t>3012</t>
  </si>
  <si>
    <t>1070</t>
  </si>
  <si>
    <t>Надання пільг окремим категоріям громадян з оплати послуг зв'язку</t>
  </si>
  <si>
    <t>3041</t>
  </si>
  <si>
    <t>Надання допомоги у зв`язку з вагітністю і пологами </t>
  </si>
  <si>
    <t>3042</t>
  </si>
  <si>
    <t>3043</t>
  </si>
  <si>
    <t>Надання допомоги при народженні дитини </t>
  </si>
  <si>
    <t>3044</t>
  </si>
  <si>
    <t>Надання допомоги на дітей, над якими встановлено опіку чи піклування </t>
  </si>
  <si>
    <t>3046</t>
  </si>
  <si>
    <t>Надання допомоги на дітей одиноким матерям </t>
  </si>
  <si>
    <t>3045</t>
  </si>
  <si>
    <t>3047</t>
  </si>
  <si>
    <t>Надання допомоги при усиновленні дитини </t>
  </si>
  <si>
    <t>Надання державної  соціальної  допомоги  малозабезпеченим сім`ям 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</si>
  <si>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</si>
  <si>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</si>
  <si>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3112</t>
  </si>
  <si>
    <t>4060</t>
  </si>
  <si>
    <t>0824</t>
  </si>
  <si>
    <t>0828</t>
  </si>
  <si>
    <t>0829</t>
  </si>
  <si>
    <t>0610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</si>
  <si>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</si>
  <si>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</si>
  <si>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</si>
  <si>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</si>
  <si>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</si>
  <si>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</si>
  <si>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</si>
  <si>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</si>
  <si>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</si>
  <si>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Секретар ради</t>
  </si>
  <si>
    <t>О. Р. Боровська</t>
  </si>
  <si>
    <t>5031</t>
  </si>
  <si>
    <t>Інші заходи та заклади молодіжної політики</t>
  </si>
  <si>
    <t>1115061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</si>
  <si>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</si>
  <si>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</si>
  <si>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0421</t>
  </si>
  <si>
    <t>Надання тимчасової  державної допомоги  дітям 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</si>
  <si>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</si>
  <si>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</si>
  <si>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2100</t>
  </si>
  <si>
    <t>Cтоматологічна допомога населенню</t>
  </si>
  <si>
    <t>Організація благоустрою  населених пунктів</t>
  </si>
  <si>
    <t>0600000</t>
  </si>
  <si>
    <t>0610000</t>
  </si>
  <si>
    <t>0160</t>
  </si>
  <si>
    <t>0610160</t>
  </si>
  <si>
    <t>Керівництво і управління у відповідній сфері у містах (місті Києві), селищах, селах, об'єднаних територіальних громадах</t>
  </si>
  <si>
    <t>0611010</t>
  </si>
  <si>
    <t>Надання дошкільної освіти</t>
  </si>
  <si>
    <t>0611020</t>
  </si>
  <si>
    <t>0611030</t>
  </si>
  <si>
    <t>0611070</t>
  </si>
  <si>
    <t>0611090</t>
  </si>
  <si>
    <t>1140</t>
  </si>
  <si>
    <t>Підвищення кваліфікації, перепідготовка кадрів  закладами післядипломної освіти</t>
  </si>
  <si>
    <t>0611140</t>
  </si>
  <si>
    <t>0613140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</si>
  <si>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</si>
  <si>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</si>
  <si>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</si>
  <si>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</si>
  <si>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</si>
  <si>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</si>
  <si>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</si>
  <si>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</si>
  <si>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</si>
  <si>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</si>
  <si>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</si>
  <si>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</si>
  <si>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Утримання та забезпечення діяльності центрів соціальних служб для сім'ї, дітей та молоді</t>
  </si>
  <si>
    <t>1150</t>
  </si>
  <si>
    <t>0611150</t>
  </si>
  <si>
    <t xml:space="preserve">Методичне забезпечення діяльності навчальних закладів </t>
  </si>
  <si>
    <t>0900000</t>
  </si>
  <si>
    <t>0910000</t>
  </si>
  <si>
    <t>0910160</t>
  </si>
  <si>
    <t>0913112</t>
  </si>
  <si>
    <t>0913140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</si>
  <si>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</si>
  <si>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</si>
  <si>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</si>
  <si>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</si>
  <si>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</si>
  <si>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</si>
  <si>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</si>
  <si>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</si>
  <si>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Забезпечення діяльності музеїв і виставок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</si>
  <si>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</si>
  <si>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</si>
  <si>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1100</t>
  </si>
  <si>
    <t>1011100</t>
  </si>
  <si>
    <t>Надання спеціальної освіти школами естетичного виховання (музичними, художніми, хореографічними, театральними, хоровими мистецькими)</t>
  </si>
  <si>
    <t>1110160</t>
  </si>
  <si>
    <t>3123</t>
  </si>
  <si>
    <t>1113123</t>
  </si>
  <si>
    <t>3133</t>
  </si>
  <si>
    <t>1113133</t>
  </si>
  <si>
    <t>1200000</t>
  </si>
  <si>
    <t>1210000</t>
  </si>
  <si>
    <t>1210160</t>
  </si>
  <si>
    <t>1216030</t>
  </si>
  <si>
    <t>1600000</t>
  </si>
  <si>
    <t>1610000</t>
  </si>
  <si>
    <t>1610160</t>
  </si>
  <si>
    <t>1510160</t>
  </si>
  <si>
    <t>3100000</t>
  </si>
  <si>
    <t>3110000</t>
  </si>
  <si>
    <t>3110160</t>
  </si>
  <si>
    <t>3700000</t>
  </si>
  <si>
    <t>3710000</t>
  </si>
  <si>
    <t>3710160</t>
  </si>
  <si>
    <t>8410</t>
  </si>
  <si>
    <t>0218410</t>
  </si>
  <si>
    <t>Фінансова підтримка засобів масової інформації</t>
  </si>
  <si>
    <t>8110</t>
  </si>
  <si>
    <t>0218110</t>
  </si>
  <si>
    <t>7640</t>
  </si>
  <si>
    <t>0217640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</si>
  <si>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</si>
  <si>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</si>
  <si>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6011</t>
  </si>
  <si>
    <t>1216011</t>
  </si>
  <si>
    <t>Експлуатація та технічне обслуговування житлового фонду</t>
  </si>
  <si>
    <t>6013</t>
  </si>
  <si>
    <t>1216013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</si>
  <si>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</si>
  <si>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</si>
  <si>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</si>
  <si>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7650</t>
  </si>
  <si>
    <t>3117650</t>
  </si>
  <si>
    <t>Проведення експертної грошової оцінки земельної ділянки чи права на неї</t>
  </si>
  <si>
    <t>7130</t>
  </si>
  <si>
    <t>3117130</t>
  </si>
  <si>
    <t>Здійснення заходів із землеустрою</t>
  </si>
  <si>
    <t>3710180</t>
  </si>
  <si>
    <t>9110</t>
  </si>
  <si>
    <t>3719110</t>
  </si>
  <si>
    <t>8700</t>
  </si>
  <si>
    <t>3718700</t>
  </si>
  <si>
    <t>Надання пільг  на  оплату житлово-комунальних  послуг окремим категоріям громадян відповідно до законодавства</t>
  </si>
  <si>
    <t>0813011</t>
  </si>
  <si>
    <t>0813012</t>
  </si>
  <si>
    <t>Надання пільг   на придбання твердого  та  рідкого пічного побутового палива і скрапленого газу окремим категоріям громадян відповідно до законодавства</t>
  </si>
  <si>
    <t>0813021</t>
  </si>
  <si>
    <t>3022</t>
  </si>
  <si>
    <t>0813022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</si>
  <si>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</si>
  <si>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</si>
  <si>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</si>
  <si>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</si>
  <si>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0813041</t>
  </si>
  <si>
    <t>0813042</t>
  </si>
  <si>
    <t>0813043</t>
  </si>
  <si>
    <t>0813044</t>
  </si>
  <si>
    <t>0813045</t>
  </si>
  <si>
    <t>0813046</t>
  </si>
  <si>
    <t>0813047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</si>
  <si>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</si>
  <si>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</si>
  <si>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</si>
  <si>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</si>
  <si>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</si>
  <si>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</si>
  <si>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</si>
  <si>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7610</t>
  </si>
  <si>
    <t>0217610</t>
  </si>
  <si>
    <t>Сприяння розвитку малого та середнього підприємництва</t>
  </si>
  <si>
    <t>0210180</t>
  </si>
  <si>
    <t xml:space="preserve">Інша діяльність у сфері державного управління </t>
  </si>
  <si>
    <t>3104</t>
  </si>
  <si>
    <t>0813104</t>
  </si>
  <si>
    <t>Олександрівська селищна адміністрація Чорноморської міської ради Одеської області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</si>
  <si>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</si>
  <si>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</si>
  <si>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</si>
  <si>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</si>
  <si>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</si>
  <si>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</si>
  <si>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</si>
  <si>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1217640</t>
  </si>
  <si>
    <t>6012</t>
  </si>
  <si>
    <t>1216012</t>
  </si>
  <si>
    <t>Забезпечення діяльності з виробництва, транспортування, постачання теплової енергії</t>
  </si>
  <si>
    <t>7350</t>
  </si>
  <si>
    <t>1217350</t>
  </si>
  <si>
    <t>0443</t>
  </si>
  <si>
    <t>Розроблення схем планування та забудови територій (містобудівної документації)</t>
  </si>
  <si>
    <t>6082</t>
  </si>
  <si>
    <t>Придбання житла для окремих категорій населення відповідно до законодавства</t>
  </si>
  <si>
    <t>1516082</t>
  </si>
  <si>
    <t>8311</t>
  </si>
  <si>
    <t>1518311</t>
  </si>
  <si>
    <t xml:space="preserve">Охорона та раціональне використання природних ресурсів </t>
  </si>
  <si>
    <t>0511</t>
  </si>
  <si>
    <t>8340</t>
  </si>
  <si>
    <t>0218340</t>
  </si>
  <si>
    <t>2144</t>
  </si>
  <si>
    <t>0763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</si>
  <si>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</si>
  <si>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</si>
  <si>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</si>
  <si>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0212144</t>
  </si>
  <si>
    <t>0212146</t>
  </si>
  <si>
    <t>1218340</t>
  </si>
  <si>
    <t>1161</t>
  </si>
  <si>
    <t>0611161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</si>
  <si>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</si>
  <si>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</si>
  <si>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</si>
  <si>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</si>
  <si>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</si>
  <si>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7370</t>
  </si>
  <si>
    <t>1217370</t>
  </si>
  <si>
    <t>1517370</t>
  </si>
  <si>
    <t>3117370</t>
  </si>
  <si>
    <t>Природоохоронні заходи за рахунок цільових фондів</t>
  </si>
  <si>
    <t>7693</t>
  </si>
  <si>
    <t>0217693</t>
  </si>
  <si>
    <t>Інші заходи, пов'язані з економічною діяльністю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</si>
  <si>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</si>
  <si>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</si>
  <si>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</si>
  <si>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0813081</t>
  </si>
  <si>
    <t>0813083</t>
  </si>
  <si>
    <t>3081</t>
  </si>
  <si>
    <t>3083</t>
  </si>
  <si>
    <t>Надання державної соціальної допомоги особам з інвалідністю  з дитинства та дітям з інвалідністю</t>
  </si>
  <si>
    <t>Надання допомоги по  догляду за особами з інвалідністю    I чи II групи внаслідок психічного розладу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</si>
  <si>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</si>
  <si>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0813160</t>
  </si>
  <si>
    <t>3160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</si>
  <si>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</si>
  <si>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0813180</t>
  </si>
  <si>
    <t>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</si>
  <si>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</si>
  <si>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</si>
  <si>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</si>
  <si>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</si>
  <si>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</si>
  <si>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</si>
  <si>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</si>
  <si>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</si>
  <si>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</si>
  <si>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</si>
  <si>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</si>
  <si>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</si>
  <si>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</si>
  <si>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</si>
  <si>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</si>
  <si>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</si>
  <si>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 xml:space="preserve">Зміни та доповнення до бюджетних призначень головним розпорядникам коштів бюджету міста Чорноморська  на 2018 рік у розрізі відповідальних виконавців за бюджетними програмами </t>
  </si>
  <si>
    <t>1610180</t>
  </si>
  <si>
    <t>1216016</t>
  </si>
  <si>
    <t>6016</t>
  </si>
  <si>
    <t>Впровадження засобів обліку витрат та регулювання споживання води та теплової енергії</t>
  </si>
  <si>
    <t>1216017</t>
  </si>
  <si>
    <t>6017</t>
  </si>
  <si>
    <t>Інша діяльність, пов'язана з експлуатацією об'єктів житлово - комунального господарства</t>
  </si>
  <si>
    <t>1216060</t>
  </si>
  <si>
    <t>6060</t>
  </si>
  <si>
    <t>Утримання об'єктів соціальної сфери підприємств, що передаються до комунальної власності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</si>
  <si>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</si>
  <si>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</si>
  <si>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0217350</t>
  </si>
  <si>
    <t xml:space="preserve">Багатопрофільна стаціонарна медична допомога населенню </t>
  </si>
  <si>
    <t>на первинну медичну допомогу</t>
  </si>
  <si>
    <t>на вторинну медичну допомога</t>
  </si>
  <si>
    <t>3719800</t>
  </si>
  <si>
    <t>7310</t>
  </si>
  <si>
    <t>1217310</t>
  </si>
  <si>
    <t xml:space="preserve">Будівництво об'єктів житлово - комунального господарства </t>
  </si>
  <si>
    <t>КФК</t>
  </si>
  <si>
    <t>1617350</t>
  </si>
  <si>
    <t>Додаток 3</t>
  </si>
  <si>
    <t>до  рішення Чорноморської міської ради</t>
  </si>
  <si>
    <t>від  22.12.2017 р. № 272-VII</t>
  </si>
  <si>
    <t xml:space="preserve">Бюджетні призначення головним розпорядникам коштів бюджету міста Чорноморська  на 2018 рік у розрізі відповідальних виконавців за бюджетними програмами </t>
  </si>
  <si>
    <t>Код ФКВКБ</t>
  </si>
  <si>
    <t>Багатопрофільна стаціонарна медична допомога населенню</t>
  </si>
  <si>
    <t>фонпс</t>
  </si>
  <si>
    <t>власни</t>
  </si>
  <si>
    <t>розвиток</t>
  </si>
  <si>
    <t>целевой эту смму исключили</t>
  </si>
  <si>
    <t xml:space="preserve"> по галузям</t>
  </si>
  <si>
    <t>органи місцевого</t>
  </si>
  <si>
    <t>освіта</t>
  </si>
  <si>
    <t xml:space="preserve">охорона </t>
  </si>
  <si>
    <t xml:space="preserve">соц захист </t>
  </si>
  <si>
    <t>культура</t>
  </si>
  <si>
    <t>ф-ра</t>
  </si>
  <si>
    <t>в т.ч. 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ст.103² Бюджетного кодексу України)</t>
  </si>
  <si>
    <t>1517691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</si>
  <si>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</si>
  <si>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</si>
  <si>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Міська програма протидії злочинності та посилення громадської безпеки на території міста Чорноморська на 2016 - 2018 роки</t>
  </si>
  <si>
    <t>Міська цільова соціальна програма  розвитку цивільного захисту на 2016 – 2020 роки</t>
  </si>
  <si>
    <t>в т.ч. за програмами:</t>
  </si>
  <si>
    <t>Видатки за рахунок коштів медичної субвенції, всього -</t>
  </si>
  <si>
    <t>в т. ч.:</t>
  </si>
  <si>
    <t>0617370</t>
  </si>
  <si>
    <t>1217130</t>
  </si>
  <si>
    <t>9770</t>
  </si>
  <si>
    <t>Інші субвенції з місцевого бюджету</t>
  </si>
  <si>
    <t>3719770</t>
  </si>
  <si>
    <t xml:space="preserve">Міська  програма  підтримки   і 
розвитку навчально-матеріальної бази та соціального захисту студентів Чорноморського морського коледжу Одеського національного морського університету  на  2018 рік
</t>
  </si>
  <si>
    <t>Управління комунальної власності та земельних відносин  Чорноморської міської ради Одеської області</t>
  </si>
  <si>
    <t xml:space="preserve">Міська  програма  підтримки   і 
розвитку навчально-матеріальної бази ДЗ "Іллічівський судноремонтний ліцей"  на  2018 рік
</t>
  </si>
  <si>
    <t>0810180</t>
  </si>
  <si>
    <t>до рішення Чорноморської міської ради</t>
  </si>
  <si>
    <t>від 16.02.2018 р. № 284 - VII</t>
  </si>
  <si>
    <t>1210170</t>
  </si>
  <si>
    <t>зі змінами та доповненнями, внесеними рішеннями ЧМР :</t>
  </si>
  <si>
    <t>від 16.02.2018р. № 284-VII</t>
  </si>
  <si>
    <r>
      <t>На оновлення матеріально-технічної бази закладів  охорони здоров'я за рахунок  залишку коштів за медичною субвенцією, який сформувався станом на 01.01.2018 року  (п. 4. ст.103</t>
    </r>
    <r>
      <rPr>
        <i/>
        <vertAlign val="superscript"/>
        <sz val="12"/>
        <rFont val="Times New Roman"/>
        <family val="1"/>
        <charset val="204"/>
      </rPr>
      <t>4</t>
    </r>
    <r>
      <rPr>
        <i/>
        <sz val="12"/>
        <rFont val="Times New Roman"/>
        <family val="1"/>
        <charset val="204"/>
      </rPr>
      <t>Бюджетного кодексу України)</t>
    </r>
  </si>
  <si>
    <t>в тому числі :</t>
  </si>
  <si>
    <t xml:space="preserve">оплата праці з нарахуваннями педагогічних працівників у таких типах навчальних закладів за рахунок освітньої  субвенції </t>
  </si>
  <si>
    <t>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ст.103² Бюджетного кодексу України)</t>
  </si>
  <si>
    <t>0218220</t>
  </si>
  <si>
    <t>8220</t>
  </si>
  <si>
    <t>0380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</si>
  <si>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</si>
  <si>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</si>
  <si>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0813084</t>
  </si>
  <si>
    <t>за рахунок дотації 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(передана до іншого місцевого бюджету)</t>
  </si>
  <si>
    <t>за рахунок субвенції місцевого бюджету на здійснення переданих
 видатків у сфері охорони здоров'я за рахунок коштів медичної субвенції (передана до іншого місцевого бюджету)</t>
  </si>
  <si>
    <t>Заходи та роботи з мобілізаційної підготовки місцевого значення</t>
  </si>
  <si>
    <t>0213112</t>
  </si>
  <si>
    <t>0213140</t>
  </si>
  <si>
    <t>1518110</t>
  </si>
  <si>
    <t>Одеської області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</si>
  <si>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</si>
  <si>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</si>
  <si>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</si>
  <si>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</si>
  <si>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1017370</t>
  </si>
  <si>
    <t>3117660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</si>
  <si>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</si>
  <si>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</si>
  <si>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за рахунок коштів медичної субвенці</t>
  </si>
  <si>
    <t>7670</t>
  </si>
  <si>
    <t>Внески до статутного капіталу суб'єктів господарювання</t>
  </si>
  <si>
    <t>3117670</t>
  </si>
  <si>
    <t>0813048</t>
  </si>
  <si>
    <t>3048</t>
  </si>
  <si>
    <t>Надання при народженні дитини одноразової натуральної допомоги "Пакунок малюка"</t>
  </si>
  <si>
    <t>0813082</t>
  </si>
  <si>
    <t>1113242</t>
  </si>
  <si>
    <t>оплата за проведення  корекційно - розвиткових занять і придбання спеціальних засобів корекції для учнів інклюзивних класів за рахунок субвенції на надання державної підтримки особам з особливими освітніми потребами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</si>
  <si>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</si>
  <si>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</si>
  <si>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</si>
  <si>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</si>
  <si>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</si>
  <si>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</si>
  <si>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</si>
  <si>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</si>
  <si>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</si>
  <si>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</si>
  <si>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в т.ч. віднесені до резерву</t>
  </si>
  <si>
    <t>ЗВІТ</t>
  </si>
  <si>
    <t>Додаток 2</t>
  </si>
  <si>
    <t>в  тому  числі</t>
  </si>
  <si>
    <t xml:space="preserve">   в тому  числі</t>
  </si>
  <si>
    <t>%  виконання</t>
  </si>
  <si>
    <t>в  тому   числі</t>
  </si>
  <si>
    <t>загальний фонд</t>
  </si>
  <si>
    <t>спеціальний фонд</t>
  </si>
  <si>
    <t>загальний  фонд</t>
  </si>
  <si>
    <t>всього</t>
  </si>
  <si>
    <t xml:space="preserve">з них </t>
  </si>
  <si>
    <t xml:space="preserve"> про  виконання видатків бюджету  міста Чорноморська  за   1 квартал 2019 року в розрізі відповідальних виконавців за бюджетними програмами/підпрограмами</t>
  </si>
  <si>
    <t xml:space="preserve">Затверджено  на 2019 рік, грн. </t>
  </si>
  <si>
    <t>Виконано за  1 квартал 2019 року, грн.</t>
  </si>
  <si>
    <t>Вик.начальник фінансового управління Чорноморської міської ради</t>
  </si>
  <si>
    <t>Яковенко О.М.</t>
  </si>
  <si>
    <t>за рахунок субвенції з місцевого бюджету на здійснення переданих видатків у сфері охорони здоров'я за рахунок коштів медичної субвенції</t>
  </si>
  <si>
    <t>в т.ч. за рахунок субвенції з місцевого бюджету на здійснення переданих видатків у сфері освіти за рахунок коштів освітньої субвенції</t>
  </si>
  <si>
    <t>за рахунок субвенції з місцевого бюджету за рахунок залишку коштів освітньої субвенції, що утворився на початок бюджетного періоду</t>
  </si>
  <si>
    <t>до рішення виконавчого комітету
Чорноморської міської ради</t>
  </si>
  <si>
    <t xml:space="preserve">від                     2019 р. №    </t>
  </si>
  <si>
    <t>Керуюча справами</t>
  </si>
  <si>
    <t>Кушніренко Н.В.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</si>
</sst>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0000"/>
    <numFmt numFmtId="166" formatCode="#,##0.0000000"/>
    <numFmt numFmtId="167" formatCode="0.0%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FF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FF"/>
      <name val="Times New Roman"/>
      <family val="1"/>
    </font>
    <font>
      <b/>
      <sz val="12"/>
      <name val="Calibri"/>
      <family val="2"/>
      <charset val="204"/>
    </font>
    <font>
      <i/>
      <vertAlign val="superscript"/>
      <sz val="12"/>
      <name val="Times New Roman"/>
      <family val="1"/>
      <charset val="204"/>
    </font>
    <font>
      <i/>
      <sz val="12"/>
      <name val="Calibri"/>
      <family val="2"/>
      <charset val="204"/>
      <scheme val="minor"/>
    </font>
    <font>
      <sz val="14"/>
      <color rgb="FF0000FF"/>
      <name val="Times New Roman"/>
      <family val="1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155">
    <xf numFmtId="0" fontId="0" fillId="0" borderId="0" xfId="0"/>
    <xf numFmtId="49" fontId="14" fillId="2" borderId="0" xfId="0" applyNumberFormat="1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3" fillId="2" borderId="0" xfId="0" applyFont="1" applyFill="1"/>
    <xf numFmtId="0" fontId="2" fillId="2" borderId="0" xfId="0" applyFont="1" applyFill="1" applyAlignment="1">
      <alignment horizontal="left"/>
    </xf>
    <xf numFmtId="49" fontId="2" fillId="2" borderId="0" xfId="0" applyNumberFormat="1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0" fontId="7" fillId="2" borderId="1" xfId="2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1" xfId="0" applyFont="1" applyFill="1" applyBorder="1" applyAlignment="1">
      <alignment wrapText="1"/>
    </xf>
    <xf numFmtId="0" fontId="8" fillId="2" borderId="0" xfId="0" applyFont="1" applyFill="1"/>
    <xf numFmtId="165" fontId="13" fillId="2" borderId="0" xfId="0" applyNumberFormat="1" applyFont="1" applyFill="1"/>
    <xf numFmtId="0" fontId="10" fillId="2" borderId="0" xfId="0" applyFont="1" applyFill="1"/>
    <xf numFmtId="0" fontId="15" fillId="2" borderId="0" xfId="0" applyFont="1" applyFill="1"/>
    <xf numFmtId="164" fontId="2" fillId="2" borderId="0" xfId="0" applyNumberFormat="1" applyFont="1" applyFill="1"/>
    <xf numFmtId="0" fontId="5" fillId="2" borderId="1" xfId="2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2" applyNumberFormat="1" applyFont="1" applyFill="1" applyBorder="1" applyAlignment="1">
      <alignment horizontal="center"/>
    </xf>
    <xf numFmtId="164" fontId="9" fillId="2" borderId="1" xfId="2" applyNumberFormat="1" applyFont="1" applyFill="1" applyBorder="1" applyAlignment="1">
      <alignment horizontal="center"/>
    </xf>
    <xf numFmtId="0" fontId="12" fillId="2" borderId="0" xfId="0" applyFont="1" applyFill="1"/>
    <xf numFmtId="0" fontId="5" fillId="2" borderId="0" xfId="2" applyFont="1" applyFill="1" applyBorder="1" applyAlignment="1">
      <alignment wrapText="1"/>
    </xf>
    <xf numFmtId="165" fontId="5" fillId="2" borderId="1" xfId="2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9" fillId="2" borderId="1" xfId="2" applyFont="1" applyFill="1" applyBorder="1" applyAlignment="1">
      <alignment horizontal="center" wrapText="1"/>
    </xf>
    <xf numFmtId="0" fontId="5" fillId="2" borderId="1" xfId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/>
    </xf>
    <xf numFmtId="0" fontId="5" fillId="2" borderId="0" xfId="0" applyFont="1" applyFill="1"/>
    <xf numFmtId="0" fontId="9" fillId="2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16" fillId="2" borderId="0" xfId="0" applyFont="1" applyFill="1" applyAlignment="1">
      <alignment horizontal="left"/>
    </xf>
    <xf numFmtId="164" fontId="13" fillId="2" borderId="0" xfId="0" applyNumberFormat="1" applyFont="1" applyFill="1"/>
    <xf numFmtId="49" fontId="17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wrapText="1"/>
    </xf>
    <xf numFmtId="0" fontId="17" fillId="2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wrapText="1"/>
    </xf>
    <xf numFmtId="0" fontId="9" fillId="2" borderId="1" xfId="2" applyFont="1" applyFill="1" applyBorder="1" applyAlignment="1"/>
    <xf numFmtId="165" fontId="9" fillId="2" borderId="1" xfId="2" applyNumberFormat="1" applyFont="1" applyFill="1" applyBorder="1" applyAlignment="1">
      <alignment horizontal="center"/>
    </xf>
    <xf numFmtId="49" fontId="5" fillId="2" borderId="0" xfId="0" applyNumberFormat="1" applyFont="1" applyFill="1"/>
    <xf numFmtId="164" fontId="18" fillId="2" borderId="0" xfId="2" applyNumberFormat="1" applyFont="1" applyFill="1"/>
    <xf numFmtId="0" fontId="18" fillId="2" borderId="0" xfId="2" applyFont="1" applyFill="1"/>
    <xf numFmtId="165" fontId="5" fillId="2" borderId="0" xfId="0" applyNumberFormat="1" applyFont="1" applyFill="1"/>
    <xf numFmtId="49" fontId="6" fillId="2" borderId="1" xfId="0" applyNumberFormat="1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164" fontId="6" fillId="2" borderId="1" xfId="2" applyNumberFormat="1" applyFont="1" applyFill="1" applyBorder="1" applyAlignment="1">
      <alignment horizontal="center" wrapText="1"/>
    </xf>
    <xf numFmtId="164" fontId="6" fillId="2" borderId="1" xfId="2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164" fontId="5" fillId="2" borderId="0" xfId="0" applyNumberFormat="1" applyFont="1" applyFill="1"/>
    <xf numFmtId="1" fontId="5" fillId="2" borderId="0" xfId="0" applyNumberFormat="1" applyFont="1" applyFill="1"/>
    <xf numFmtId="164" fontId="2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wrapText="1"/>
    </xf>
    <xf numFmtId="0" fontId="2" fillId="2" borderId="1" xfId="3" applyFont="1" applyFill="1" applyBorder="1" applyAlignment="1">
      <alignment wrapText="1"/>
    </xf>
    <xf numFmtId="165" fontId="2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164" fontId="6" fillId="2" borderId="1" xfId="0" applyNumberFormat="1" applyFont="1" applyFill="1" applyBorder="1" applyAlignment="1">
      <alignment horizontal="center"/>
    </xf>
    <xf numFmtId="0" fontId="6" fillId="2" borderId="1" xfId="2" applyFont="1" applyFill="1" applyBorder="1" applyAlignment="1"/>
    <xf numFmtId="164" fontId="10" fillId="2" borderId="0" xfId="2" applyNumberFormat="1" applyFont="1" applyFill="1"/>
    <xf numFmtId="0" fontId="10" fillId="2" borderId="0" xfId="2" applyFont="1" applyFill="1"/>
    <xf numFmtId="49" fontId="12" fillId="2" borderId="0" xfId="0" applyNumberFormat="1" applyFont="1" applyFill="1"/>
    <xf numFmtId="165" fontId="12" fillId="2" borderId="0" xfId="0" applyNumberFormat="1" applyFont="1" applyFill="1"/>
    <xf numFmtId="166" fontId="13" fillId="2" borderId="0" xfId="0" applyNumberFormat="1" applyFont="1" applyFill="1"/>
    <xf numFmtId="165" fontId="20" fillId="2" borderId="0" xfId="2" applyNumberFormat="1" applyFont="1" applyFill="1"/>
    <xf numFmtId="0" fontId="20" fillId="2" borderId="0" xfId="2" applyFont="1" applyFill="1"/>
    <xf numFmtId="0" fontId="19" fillId="2" borderId="0" xfId="0" applyFont="1" applyFill="1"/>
    <xf numFmtId="164" fontId="21" fillId="2" borderId="0" xfId="0" applyNumberFormat="1" applyFont="1" applyFill="1"/>
    <xf numFmtId="0" fontId="22" fillId="2" borderId="0" xfId="0" applyFont="1" applyFill="1"/>
    <xf numFmtId="0" fontId="13" fillId="2" borderId="0" xfId="0" applyFont="1" applyFill="1" applyAlignment="1">
      <alignment horizontal="right"/>
    </xf>
    <xf numFmtId="0" fontId="13" fillId="2" borderId="0" xfId="0" applyFont="1" applyFill="1" applyAlignment="1">
      <alignment horizontal="left"/>
    </xf>
    <xf numFmtId="0" fontId="9" fillId="2" borderId="1" xfId="0" applyFont="1" applyFill="1" applyBorder="1" applyAlignment="1">
      <alignment wrapText="1"/>
    </xf>
    <xf numFmtId="165" fontId="9" fillId="2" borderId="1" xfId="2" applyNumberFormat="1" applyFont="1" applyFill="1" applyBorder="1" applyAlignment="1">
      <alignment horizontal="center" wrapText="1"/>
    </xf>
    <xf numFmtId="165" fontId="17" fillId="2" borderId="1" xfId="2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9" fillId="2" borderId="1" xfId="0" applyNumberFormat="1" applyFont="1" applyFill="1" applyBorder="1" applyAlignment="1">
      <alignment horizontal="center"/>
    </xf>
    <xf numFmtId="0" fontId="17" fillId="2" borderId="1" xfId="1" applyFont="1" applyFill="1" applyBorder="1" applyAlignment="1">
      <alignment wrapText="1"/>
    </xf>
    <xf numFmtId="165" fontId="17" fillId="2" borderId="1" xfId="0" applyNumberFormat="1" applyFont="1" applyFill="1" applyBorder="1" applyAlignment="1">
      <alignment horizontal="center"/>
    </xf>
    <xf numFmtId="0" fontId="25" fillId="2" borderId="1" xfId="0" applyFont="1" applyFill="1" applyBorder="1" applyAlignment="1">
      <alignment vertical="center" wrapText="1"/>
    </xf>
    <xf numFmtId="0" fontId="26" fillId="2" borderId="1" xfId="2" applyFont="1" applyFill="1" applyBorder="1" applyAlignment="1">
      <alignment vertical="center" wrapText="1"/>
    </xf>
    <xf numFmtId="0" fontId="17" fillId="2" borderId="1" xfId="2" applyFont="1" applyFill="1" applyBorder="1" applyAlignment="1">
      <alignment wrapText="1"/>
    </xf>
    <xf numFmtId="0" fontId="27" fillId="2" borderId="0" xfId="0" applyFont="1" applyFill="1"/>
    <xf numFmtId="0" fontId="28" fillId="2" borderId="0" xfId="0" applyFont="1" applyFill="1" applyAlignment="1"/>
    <xf numFmtId="49" fontId="29" fillId="2" borderId="1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wrapText="1"/>
    </xf>
    <xf numFmtId="49" fontId="30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165" fontId="31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164" fontId="9" fillId="2" borderId="1" xfId="2" applyNumberFormat="1" applyFont="1" applyFill="1" applyBorder="1" applyAlignment="1">
      <alignment horizontal="center" wrapText="1"/>
    </xf>
    <xf numFmtId="0" fontId="33" fillId="2" borderId="0" xfId="0" applyFont="1" applyFill="1"/>
    <xf numFmtId="164" fontId="17" fillId="2" borderId="1" xfId="0" applyNumberFormat="1" applyFont="1" applyFill="1" applyBorder="1" applyAlignment="1">
      <alignment horizontal="center"/>
    </xf>
    <xf numFmtId="164" fontId="17" fillId="2" borderId="1" xfId="2" applyNumberFormat="1" applyFont="1" applyFill="1" applyBorder="1" applyAlignment="1">
      <alignment horizontal="center"/>
    </xf>
    <xf numFmtId="1" fontId="17" fillId="2" borderId="0" xfId="0" applyNumberFormat="1" applyFont="1" applyFill="1"/>
    <xf numFmtId="0" fontId="18" fillId="2" borderId="0" xfId="0" applyFont="1" applyFill="1"/>
    <xf numFmtId="164" fontId="9" fillId="2" borderId="1" xfId="0" applyNumberFormat="1" applyFont="1" applyFill="1" applyBorder="1" applyAlignment="1">
      <alignment horizontal="center"/>
    </xf>
    <xf numFmtId="0" fontId="17" fillId="2" borderId="1" xfId="2" applyFont="1" applyFill="1" applyBorder="1" applyAlignment="1">
      <alignment vertical="center" wrapText="1"/>
    </xf>
    <xf numFmtId="0" fontId="35" fillId="2" borderId="0" xfId="0" applyFont="1" applyFill="1"/>
    <xf numFmtId="164" fontId="36" fillId="2" borderId="0" xfId="0" applyNumberFormat="1" applyFont="1" applyFill="1" applyAlignment="1">
      <alignment horizontal="left"/>
    </xf>
    <xf numFmtId="0" fontId="32" fillId="2" borderId="0" xfId="0" applyFont="1" applyFill="1" applyAlignment="1">
      <alignment horizontal="left"/>
    </xf>
    <xf numFmtId="0" fontId="28" fillId="2" borderId="1" xfId="0" applyFont="1" applyFill="1" applyBorder="1" applyAlignment="1">
      <alignment wrapText="1"/>
    </xf>
    <xf numFmtId="3" fontId="37" fillId="2" borderId="1" xfId="2" applyNumberFormat="1" applyFont="1" applyFill="1" applyBorder="1" applyAlignment="1">
      <alignment horizontal="center" wrapText="1"/>
    </xf>
    <xf numFmtId="3" fontId="37" fillId="2" borderId="1" xfId="2" applyNumberFormat="1" applyFont="1" applyFill="1" applyBorder="1" applyAlignment="1">
      <alignment horizontal="center"/>
    </xf>
    <xf numFmtId="3" fontId="12" fillId="2" borderId="1" xfId="2" applyNumberFormat="1" applyFont="1" applyFill="1" applyBorder="1" applyAlignment="1">
      <alignment horizontal="center"/>
    </xf>
    <xf numFmtId="3" fontId="38" fillId="2" borderId="1" xfId="2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38" fillId="2" borderId="1" xfId="0" applyNumberFormat="1" applyFont="1" applyFill="1" applyBorder="1" applyAlignment="1">
      <alignment horizontal="center"/>
    </xf>
    <xf numFmtId="3" fontId="12" fillId="2" borderId="1" xfId="0" applyNumberFormat="1" applyFont="1" applyFill="1" applyBorder="1"/>
    <xf numFmtId="0" fontId="17" fillId="2" borderId="1" xfId="2" applyFont="1" applyFill="1" applyBorder="1" applyAlignment="1">
      <alignment vertical="top" wrapText="1"/>
    </xf>
    <xf numFmtId="164" fontId="17" fillId="2" borderId="0" xfId="0" applyNumberFormat="1" applyFont="1" applyFill="1"/>
    <xf numFmtId="0" fontId="17" fillId="2" borderId="1" xfId="2" applyFont="1" applyFill="1" applyBorder="1" applyAlignment="1">
      <alignment horizontal="left" wrapText="1"/>
    </xf>
    <xf numFmtId="164" fontId="5" fillId="2" borderId="0" xfId="2" applyNumberFormat="1" applyFont="1" applyFill="1"/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3" fontId="38" fillId="2" borderId="1" xfId="0" applyNumberFormat="1" applyFont="1" applyFill="1" applyBorder="1"/>
    <xf numFmtId="0" fontId="39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42" fillId="2" borderId="0" xfId="0" applyFont="1" applyFill="1"/>
    <xf numFmtId="3" fontId="5" fillId="2" borderId="0" xfId="0" applyNumberFormat="1" applyFont="1" applyFill="1"/>
    <xf numFmtId="4" fontId="5" fillId="2" borderId="0" xfId="0" applyNumberFormat="1" applyFont="1" applyFill="1"/>
    <xf numFmtId="0" fontId="17" fillId="2" borderId="1" xfId="0" applyFont="1" applyFill="1" applyBorder="1" applyAlignment="1">
      <alignment horizontal="left" vertical="top" wrapText="1"/>
    </xf>
    <xf numFmtId="2" fontId="5" fillId="2" borderId="0" xfId="0" applyNumberFormat="1" applyFont="1" applyFill="1"/>
    <xf numFmtId="0" fontId="5" fillId="2" borderId="0" xfId="2" applyFont="1" applyFill="1"/>
    <xf numFmtId="3" fontId="5" fillId="2" borderId="0" xfId="2" applyNumberFormat="1" applyFont="1" applyFill="1"/>
    <xf numFmtId="167" fontId="37" fillId="2" borderId="1" xfId="2" applyNumberFormat="1" applyFont="1" applyFill="1" applyBorder="1" applyAlignment="1">
      <alignment horizontal="center"/>
    </xf>
    <xf numFmtId="167" fontId="12" fillId="2" borderId="1" xfId="2" applyNumberFormat="1" applyFont="1" applyFill="1" applyBorder="1" applyAlignment="1">
      <alignment horizontal="center"/>
    </xf>
    <xf numFmtId="167" fontId="38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11" fillId="2" borderId="0" xfId="0" applyNumberFormat="1" applyFont="1" applyFill="1" applyAlignment="1">
      <alignment horizontal="center" vertical="center"/>
    </xf>
    <xf numFmtId="0" fontId="2" fillId="2" borderId="0" xfId="2" applyFont="1" applyFill="1" applyAlignment="1">
      <alignment horizontal="center"/>
    </xf>
    <xf numFmtId="49" fontId="4" fillId="2" borderId="2" xfId="1" applyNumberFormat="1" applyFont="1" applyFill="1" applyBorder="1" applyAlignment="1" applyProtection="1">
      <alignment horizontal="center" vertical="center" wrapText="1"/>
    </xf>
    <xf numFmtId="49" fontId="4" fillId="2" borderId="3" xfId="1" applyNumberFormat="1" applyFont="1" applyFill="1" applyBorder="1" applyAlignment="1" applyProtection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 wrapText="1"/>
    </xf>
    <xf numFmtId="49" fontId="4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49" fontId="1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center"/>
    </xf>
    <xf numFmtId="0" fontId="40" fillId="2" borderId="2" xfId="0" applyFont="1" applyFill="1" applyBorder="1" applyAlignment="1">
      <alignment horizontal="center" vertical="center" wrapText="1"/>
    </xf>
    <xf numFmtId="0" fontId="41" fillId="2" borderId="3" xfId="0" applyFont="1" applyFill="1" applyBorder="1" applyAlignment="1">
      <alignment horizontal="center" vertical="center" wrapText="1"/>
    </xf>
    <xf numFmtId="0" fontId="41" fillId="2" borderId="4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/>
    </xf>
    <xf numFmtId="0" fontId="40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40" fillId="2" borderId="7" xfId="0" applyFont="1" applyFill="1" applyBorder="1" applyAlignment="1">
      <alignment horizontal="center"/>
    </xf>
    <xf numFmtId="0" fontId="40" fillId="2" borderId="8" xfId="0" applyFont="1" applyFill="1" applyBorder="1" applyAlignment="1">
      <alignment horizontal="center"/>
    </xf>
    <xf numFmtId="0" fontId="40" fillId="2" borderId="9" xfId="0" applyFont="1" applyFill="1" applyBorder="1" applyAlignment="1">
      <alignment horizontal="center"/>
    </xf>
  </cellXfs>
  <cellStyles count="4">
    <cellStyle name="Обычный" xfId="0" builtinId="0"/>
    <cellStyle name="Обычный 3" xfId="1"/>
    <cellStyle name="Обычный_дод 2" xfId="3"/>
    <cellStyle name="Обычный_дод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/0-&#1057;&#1090;&#1072;&#1088;&#1099;&#1077;%20&#1076;&#1072;&#1085;&#1085;&#1099;&#1077;/SHARE/&#1041;&#1102;&#1076;&#1078;&#1077;&#1090;%202018/&#1059;&#1058;&#1054;&#1063;&#1053;&#1045;&#1053;&#1053;&#1071;/&#1051;&#1102;&#1090;&#1080;&#1081;/&#1056;&#1110;&#1096;&#1077;&#1085;&#1085;&#1103;%20&#1079;&#1110;%20&#1079;&#1084;&#1110;&#1085;&#1072;&#1084;&#1080;%2016.02.18/&#1044;&#1086;&#1076;.&#8470;%203_&#1074;&#1080;&#1076;&#1072;&#1090;&#1082;&#1080;%20&#1087;&#1086;%20&#1088;&#1086;&#1079;&#1087;&#1086;&#1088;&#1103;&#1076;&#1085;&#1080;&#1082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чатковий"/>
      <sheetName val="зміни лютий"/>
      <sheetName val="зі змінами 16.02.18"/>
    </sheetNames>
    <sheetDataSet>
      <sheetData sheetId="0">
        <row r="145">
          <cell r="E145">
            <v>658544.79999999993</v>
          </cell>
          <cell r="F145">
            <v>246322.50000000003</v>
          </cell>
          <cell r="G145">
            <v>26806.400000000001</v>
          </cell>
          <cell r="H145">
            <v>157751.201</v>
          </cell>
          <cell r="I145">
            <v>19090.200999999997</v>
          </cell>
          <cell r="J145">
            <v>233.8</v>
          </cell>
          <cell r="K145">
            <v>0</v>
          </cell>
          <cell r="L145">
            <v>138661</v>
          </cell>
          <cell r="M145">
            <v>138607</v>
          </cell>
          <cell r="N145">
            <v>132607</v>
          </cell>
          <cell r="O145">
            <v>816296.00099999993</v>
          </cell>
        </row>
      </sheetData>
      <sheetData sheetId="1">
        <row r="170">
          <cell r="E170">
            <v>15052.279999999999</v>
          </cell>
          <cell r="F170">
            <v>0</v>
          </cell>
          <cell r="G170">
            <v>0</v>
          </cell>
          <cell r="H170">
            <v>23544.036360000002</v>
          </cell>
          <cell r="I170">
            <v>-50</v>
          </cell>
          <cell r="J170">
            <v>0</v>
          </cell>
          <cell r="K170">
            <v>0</v>
          </cell>
          <cell r="L170">
            <v>23594.036360000002</v>
          </cell>
          <cell r="M170">
            <v>12360.552380000001</v>
          </cell>
          <cell r="N170">
            <v>12360.552380000001</v>
          </cell>
          <cell r="O170">
            <v>38596.316359999997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78"/>
  <sheetViews>
    <sheetView topLeftCell="A92" zoomScale="75" zoomScaleNormal="75" workbookViewId="0">
      <selection activeCell="D163" sqref="D163"/>
    </sheetView>
  </sheetViews>
  <sheetFormatPr defaultRowHeight="15" x14ac:dyDescent="0.25"/>
  <cols>
    <col min="1" max="1" width="11" style="6" customWidth="1"/>
    <col min="2" max="2" width="9.140625" style="6"/>
    <col min="3" max="3" width="18.42578125" style="6" customWidth="1"/>
    <col min="4" max="4" width="47" style="4" customWidth="1"/>
    <col min="5" max="5" width="18.7109375" style="4" customWidth="1"/>
    <col min="6" max="6" width="16.85546875" style="4" customWidth="1"/>
    <col min="7" max="7" width="14.85546875" style="4" customWidth="1"/>
    <col min="8" max="8" width="15.5703125" style="4" customWidth="1"/>
    <col min="9" max="9" width="15" style="4" customWidth="1"/>
    <col min="10" max="10" width="12.7109375" style="4" customWidth="1"/>
    <col min="11" max="11" width="11" style="4" customWidth="1"/>
    <col min="12" max="12" width="14" style="4" customWidth="1"/>
    <col min="13" max="13" width="16.28515625" style="4" customWidth="1"/>
    <col min="14" max="14" width="15.7109375" style="4" customWidth="1"/>
    <col min="15" max="15" width="15.85546875" style="4" customWidth="1"/>
    <col min="16" max="16" width="11" style="4" bestFit="1" customWidth="1"/>
    <col min="17" max="17" width="12" style="4" bestFit="1" customWidth="1"/>
    <col min="18" max="16384" width="9.140625" style="4"/>
  </cols>
  <sheetData>
    <row r="1" spans="1:16" x14ac:dyDescent="0.25">
      <c r="A1" s="1"/>
      <c r="B1" s="1"/>
      <c r="C1" s="1"/>
      <c r="D1" s="2"/>
      <c r="E1" s="3"/>
      <c r="F1" s="3"/>
      <c r="G1" s="3"/>
      <c r="H1" s="3"/>
      <c r="I1" s="3"/>
      <c r="J1" s="3"/>
      <c r="K1" s="3"/>
      <c r="L1" s="3" t="s">
        <v>353</v>
      </c>
      <c r="M1" s="3"/>
      <c r="N1" s="3"/>
      <c r="O1" s="3"/>
    </row>
    <row r="2" spans="1:16" x14ac:dyDescent="0.25">
      <c r="A2" s="1"/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354</v>
      </c>
      <c r="M2" s="5"/>
      <c r="N2" s="3"/>
      <c r="O2" s="3"/>
    </row>
    <row r="3" spans="1:16" x14ac:dyDescent="0.25">
      <c r="D3" s="2"/>
      <c r="E3" s="3"/>
      <c r="F3" s="3"/>
      <c r="G3" s="3"/>
      <c r="H3" s="3"/>
      <c r="I3" s="3"/>
      <c r="J3" s="3"/>
      <c r="K3" s="3"/>
      <c r="L3" s="33" t="s">
        <v>355</v>
      </c>
      <c r="M3" s="5"/>
      <c r="N3" s="3"/>
      <c r="O3" s="3"/>
    </row>
    <row r="4" spans="1:16" x14ac:dyDescent="0.25">
      <c r="D4" s="2"/>
      <c r="E4" s="3"/>
      <c r="F4" s="3"/>
      <c r="G4" s="3"/>
      <c r="H4" s="3"/>
      <c r="I4" s="3"/>
      <c r="J4" s="3"/>
      <c r="K4" s="3"/>
      <c r="L4" s="5"/>
      <c r="M4" s="5"/>
      <c r="N4" s="3"/>
      <c r="O4" s="3"/>
    </row>
    <row r="5" spans="1:16" x14ac:dyDescent="0.25"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</row>
    <row r="6" spans="1:16" ht="20.25" x14ac:dyDescent="0.25">
      <c r="A6" s="134" t="s">
        <v>356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</row>
    <row r="7" spans="1:16" x14ac:dyDescent="0.25"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</row>
    <row r="8" spans="1:16" x14ac:dyDescent="0.25"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8" t="s">
        <v>0</v>
      </c>
    </row>
    <row r="9" spans="1:16" x14ac:dyDescent="0.25">
      <c r="A9" s="136" t="s">
        <v>28</v>
      </c>
      <c r="B9" s="136" t="s">
        <v>29</v>
      </c>
      <c r="C9" s="139" t="s">
        <v>357</v>
      </c>
      <c r="D9" s="140" t="s">
        <v>31</v>
      </c>
      <c r="E9" s="132" t="s">
        <v>1</v>
      </c>
      <c r="F9" s="132"/>
      <c r="G9" s="132"/>
      <c r="H9" s="132" t="s">
        <v>6</v>
      </c>
      <c r="I9" s="132"/>
      <c r="J9" s="132"/>
      <c r="K9" s="132"/>
      <c r="L9" s="132"/>
      <c r="M9" s="132"/>
      <c r="N9" s="132"/>
      <c r="O9" s="132" t="s">
        <v>11</v>
      </c>
    </row>
    <row r="10" spans="1:16" x14ac:dyDescent="0.25">
      <c r="A10" s="137"/>
      <c r="B10" s="137"/>
      <c r="C10" s="139"/>
      <c r="D10" s="140"/>
      <c r="E10" s="132" t="s">
        <v>2</v>
      </c>
      <c r="F10" s="132" t="s">
        <v>3</v>
      </c>
      <c r="G10" s="132"/>
      <c r="H10" s="132" t="s">
        <v>2</v>
      </c>
      <c r="I10" s="132" t="s">
        <v>7</v>
      </c>
      <c r="J10" s="132" t="s">
        <v>3</v>
      </c>
      <c r="K10" s="132"/>
      <c r="L10" s="132" t="s">
        <v>8</v>
      </c>
      <c r="M10" s="132" t="s">
        <v>3</v>
      </c>
      <c r="N10" s="132"/>
      <c r="O10" s="132"/>
    </row>
    <row r="11" spans="1:16" x14ac:dyDescent="0.25">
      <c r="A11" s="137"/>
      <c r="B11" s="137"/>
      <c r="C11" s="139"/>
      <c r="D11" s="140"/>
      <c r="E11" s="132"/>
      <c r="F11" s="132" t="s">
        <v>4</v>
      </c>
      <c r="G11" s="132" t="s">
        <v>5</v>
      </c>
      <c r="H11" s="132"/>
      <c r="I11" s="132"/>
      <c r="J11" s="132" t="s">
        <v>4</v>
      </c>
      <c r="K11" s="132" t="s">
        <v>5</v>
      </c>
      <c r="L11" s="132"/>
      <c r="M11" s="132" t="s">
        <v>9</v>
      </c>
      <c r="N11" s="38" t="s">
        <v>3</v>
      </c>
      <c r="O11" s="132"/>
    </row>
    <row r="12" spans="1:16" ht="63" x14ac:dyDescent="0.25">
      <c r="A12" s="138"/>
      <c r="B12" s="138"/>
      <c r="C12" s="139"/>
      <c r="D12" s="140"/>
      <c r="E12" s="132"/>
      <c r="F12" s="132"/>
      <c r="G12" s="132"/>
      <c r="H12" s="132"/>
      <c r="I12" s="132"/>
      <c r="J12" s="132"/>
      <c r="K12" s="132"/>
      <c r="L12" s="132"/>
      <c r="M12" s="132"/>
      <c r="N12" s="9" t="s">
        <v>10</v>
      </c>
      <c r="O12" s="132"/>
    </row>
    <row r="13" spans="1:16" x14ac:dyDescent="0.25">
      <c r="A13" s="10">
        <v>1</v>
      </c>
      <c r="B13" s="10">
        <v>2</v>
      </c>
      <c r="C13" s="10">
        <v>3</v>
      </c>
      <c r="D13" s="38">
        <v>4</v>
      </c>
      <c r="E13" s="38">
        <v>5</v>
      </c>
      <c r="F13" s="38">
        <v>6</v>
      </c>
      <c r="G13" s="38">
        <v>7</v>
      </c>
      <c r="H13" s="38">
        <v>8</v>
      </c>
      <c r="I13" s="38">
        <v>9</v>
      </c>
      <c r="J13" s="38">
        <v>10</v>
      </c>
      <c r="K13" s="38">
        <v>11</v>
      </c>
      <c r="L13" s="38">
        <v>12</v>
      </c>
      <c r="M13" s="38">
        <v>13</v>
      </c>
      <c r="N13" s="38">
        <v>14</v>
      </c>
      <c r="O13" s="38" t="s">
        <v>30</v>
      </c>
    </row>
    <row r="14" spans="1:16" s="13" customFormat="1" ht="29.25" x14ac:dyDescent="0.25">
      <c r="A14" s="46" t="s">
        <v>137</v>
      </c>
      <c r="B14" s="46"/>
      <c r="C14" s="46"/>
      <c r="D14" s="47" t="s">
        <v>25</v>
      </c>
      <c r="E14" s="48">
        <f>E15</f>
        <v>130738.4</v>
      </c>
      <c r="F14" s="48">
        <f t="shared" ref="F14:N14" si="0">F15</f>
        <v>20424</v>
      </c>
      <c r="G14" s="48">
        <f t="shared" si="0"/>
        <v>2029.7</v>
      </c>
      <c r="H14" s="48">
        <f t="shared" si="0"/>
        <v>18449.599999999999</v>
      </c>
      <c r="I14" s="48">
        <f t="shared" si="0"/>
        <v>8729.6</v>
      </c>
      <c r="J14" s="48">
        <f t="shared" si="0"/>
        <v>0</v>
      </c>
      <c r="K14" s="48">
        <f t="shared" si="0"/>
        <v>0</v>
      </c>
      <c r="L14" s="48">
        <f t="shared" si="0"/>
        <v>9720</v>
      </c>
      <c r="M14" s="48">
        <f t="shared" si="0"/>
        <v>9700</v>
      </c>
      <c r="N14" s="48">
        <f t="shared" si="0"/>
        <v>9700</v>
      </c>
      <c r="O14" s="49">
        <f t="shared" ref="O14:O20" si="1">E14+H14</f>
        <v>149188</v>
      </c>
    </row>
    <row r="15" spans="1:16" ht="29.25" x14ac:dyDescent="0.25">
      <c r="A15" s="46" t="s">
        <v>138</v>
      </c>
      <c r="B15" s="50"/>
      <c r="C15" s="50"/>
      <c r="D15" s="47" t="s">
        <v>25</v>
      </c>
      <c r="E15" s="49">
        <f>E16+E17+E18+E19+E20+E21+E22+E23+E24+E25+E26+E27+E29+E30+E28</f>
        <v>130738.4</v>
      </c>
      <c r="F15" s="49">
        <f t="shared" ref="F15:N15" si="2">F16+F17+F18+F19+F20+F23+F24+F25+F26+F27+F29+F30+F28</f>
        <v>20424</v>
      </c>
      <c r="G15" s="49">
        <f t="shared" si="2"/>
        <v>2029.7</v>
      </c>
      <c r="H15" s="49">
        <f>I15+L15</f>
        <v>18449.599999999999</v>
      </c>
      <c r="I15" s="49">
        <f t="shared" si="2"/>
        <v>8729.6</v>
      </c>
      <c r="J15" s="49">
        <f t="shared" si="2"/>
        <v>0</v>
      </c>
      <c r="K15" s="49">
        <f t="shared" si="2"/>
        <v>0</v>
      </c>
      <c r="L15" s="49">
        <f t="shared" si="2"/>
        <v>9720</v>
      </c>
      <c r="M15" s="49">
        <f t="shared" si="2"/>
        <v>9700</v>
      </c>
      <c r="N15" s="49">
        <f t="shared" si="2"/>
        <v>9700</v>
      </c>
      <c r="O15" s="49">
        <f t="shared" si="1"/>
        <v>149188</v>
      </c>
    </row>
    <row r="16" spans="1:16" s="29" customFormat="1" ht="78.75" x14ac:dyDescent="0.25">
      <c r="A16" s="19" t="s">
        <v>139</v>
      </c>
      <c r="B16" s="19" t="s">
        <v>117</v>
      </c>
      <c r="C16" s="19" t="s">
        <v>32</v>
      </c>
      <c r="D16" s="18" t="s">
        <v>118</v>
      </c>
      <c r="E16" s="20">
        <f>25114.2-25</f>
        <v>25089.200000000001</v>
      </c>
      <c r="F16" s="20">
        <f>16741+3683</f>
        <v>20424</v>
      </c>
      <c r="G16" s="20">
        <f>2029.7</f>
        <v>2029.7</v>
      </c>
      <c r="H16" s="20">
        <f>I16+L16</f>
        <v>2325</v>
      </c>
      <c r="I16" s="20">
        <f>121+24</f>
        <v>145</v>
      </c>
      <c r="J16" s="20"/>
      <c r="K16" s="20"/>
      <c r="L16" s="20">
        <f>1180+500+500</f>
        <v>2180</v>
      </c>
      <c r="M16" s="20">
        <v>2180</v>
      </c>
      <c r="N16" s="20">
        <v>2180</v>
      </c>
      <c r="O16" s="20">
        <f t="shared" si="1"/>
        <v>27414.2</v>
      </c>
      <c r="P16" s="51"/>
    </row>
    <row r="17" spans="1:16" s="29" customFormat="1" ht="47.25" x14ac:dyDescent="0.25">
      <c r="A17" s="19" t="s">
        <v>237</v>
      </c>
      <c r="B17" s="19" t="s">
        <v>238</v>
      </c>
      <c r="C17" s="19" t="s">
        <v>239</v>
      </c>
      <c r="D17" s="18" t="s">
        <v>240</v>
      </c>
      <c r="E17" s="20">
        <v>25</v>
      </c>
      <c r="F17" s="20"/>
      <c r="G17" s="20"/>
      <c r="H17" s="20"/>
      <c r="I17" s="20"/>
      <c r="J17" s="20"/>
      <c r="K17" s="20"/>
      <c r="L17" s="20"/>
      <c r="M17" s="20"/>
      <c r="N17" s="20"/>
      <c r="O17" s="20">
        <f t="shared" si="1"/>
        <v>25</v>
      </c>
      <c r="P17" s="51"/>
    </row>
    <row r="18" spans="1:16" s="29" customFormat="1" ht="31.5" x14ac:dyDescent="0.25">
      <c r="A18" s="19" t="s">
        <v>247</v>
      </c>
      <c r="B18" s="19" t="s">
        <v>41</v>
      </c>
      <c r="C18" s="19" t="s">
        <v>37</v>
      </c>
      <c r="D18" s="23" t="s">
        <v>248</v>
      </c>
      <c r="E18" s="20">
        <v>1550.5</v>
      </c>
      <c r="F18" s="20"/>
      <c r="G18" s="20"/>
      <c r="H18" s="20"/>
      <c r="I18" s="20"/>
      <c r="J18" s="20"/>
      <c r="K18" s="20"/>
      <c r="L18" s="20"/>
      <c r="M18" s="20"/>
      <c r="N18" s="20"/>
      <c r="O18" s="20">
        <f t="shared" si="1"/>
        <v>1550.5</v>
      </c>
      <c r="P18" s="51"/>
    </row>
    <row r="19" spans="1:16" s="29" customFormat="1" ht="31.5" x14ac:dyDescent="0.25">
      <c r="A19" s="19" t="s">
        <v>140</v>
      </c>
      <c r="B19" s="19" t="s">
        <v>69</v>
      </c>
      <c r="C19" s="19" t="s">
        <v>70</v>
      </c>
      <c r="D19" s="12" t="s">
        <v>358</v>
      </c>
      <c r="E19" s="20">
        <v>80731.600000000006</v>
      </c>
      <c r="F19" s="20"/>
      <c r="G19" s="20"/>
      <c r="H19" s="20">
        <f>I19+L19</f>
        <v>11365.6</v>
      </c>
      <c r="I19" s="24">
        <v>4345.6000000000004</v>
      </c>
      <c r="J19" s="20"/>
      <c r="K19" s="20"/>
      <c r="L19" s="20">
        <f>20+5000+1500+500</f>
        <v>7020</v>
      </c>
      <c r="M19" s="20">
        <f>5000+1500+500</f>
        <v>7000</v>
      </c>
      <c r="N19" s="20">
        <f>5000+1500+500</f>
        <v>7000</v>
      </c>
      <c r="O19" s="20">
        <f t="shared" si="1"/>
        <v>92097.200000000012</v>
      </c>
      <c r="P19" s="51"/>
    </row>
    <row r="20" spans="1:16" s="29" customFormat="1" ht="15.75" x14ac:dyDescent="0.25">
      <c r="A20" s="19" t="s">
        <v>141</v>
      </c>
      <c r="B20" s="19" t="s">
        <v>119</v>
      </c>
      <c r="C20" s="19" t="s">
        <v>71</v>
      </c>
      <c r="D20" s="12" t="s">
        <v>120</v>
      </c>
      <c r="E20" s="20">
        <v>9640.7000000000007</v>
      </c>
      <c r="F20" s="20"/>
      <c r="G20" s="20"/>
      <c r="H20" s="20">
        <f>I20+L20</f>
        <v>4279</v>
      </c>
      <c r="I20" s="20">
        <v>3759</v>
      </c>
      <c r="J20" s="20"/>
      <c r="K20" s="20"/>
      <c r="L20" s="20">
        <v>520</v>
      </c>
      <c r="M20" s="20">
        <v>520</v>
      </c>
      <c r="N20" s="20">
        <v>520</v>
      </c>
      <c r="O20" s="20">
        <f t="shared" si="1"/>
        <v>13919.7</v>
      </c>
      <c r="P20" s="51"/>
    </row>
    <row r="21" spans="1:16" s="29" customFormat="1" ht="31.5" x14ac:dyDescent="0.25">
      <c r="A21" s="19" t="s">
        <v>281</v>
      </c>
      <c r="B21" s="19" t="s">
        <v>276</v>
      </c>
      <c r="C21" s="19" t="s">
        <v>277</v>
      </c>
      <c r="D21" s="12" t="s">
        <v>278</v>
      </c>
      <c r="E21" s="20">
        <v>1676.2</v>
      </c>
      <c r="F21" s="20"/>
      <c r="G21" s="20"/>
      <c r="H21" s="24"/>
      <c r="I21" s="24"/>
      <c r="J21" s="24"/>
      <c r="K21" s="24"/>
      <c r="L21" s="24"/>
      <c r="M21" s="24"/>
      <c r="N21" s="24"/>
      <c r="O21" s="20">
        <f>E21+H21</f>
        <v>1676.2</v>
      </c>
      <c r="P21" s="51"/>
    </row>
    <row r="22" spans="1:16" s="29" customFormat="1" ht="31.5" x14ac:dyDescent="0.25">
      <c r="A22" s="19" t="s">
        <v>282</v>
      </c>
      <c r="B22" s="19" t="s">
        <v>279</v>
      </c>
      <c r="C22" s="19" t="s">
        <v>277</v>
      </c>
      <c r="D22" s="12" t="s">
        <v>280</v>
      </c>
      <c r="E22" s="20">
        <v>1647.3</v>
      </c>
      <c r="F22" s="20"/>
      <c r="G22" s="20"/>
      <c r="H22" s="24"/>
      <c r="I22" s="24"/>
      <c r="J22" s="24"/>
      <c r="K22" s="24"/>
      <c r="L22" s="24"/>
      <c r="M22" s="24"/>
      <c r="N22" s="24"/>
      <c r="O22" s="20">
        <f>E22+H22</f>
        <v>1647.3</v>
      </c>
      <c r="P22" s="51"/>
    </row>
    <row r="23" spans="1:16" s="29" customFormat="1" ht="31.5" x14ac:dyDescent="0.25">
      <c r="A23" s="19" t="s">
        <v>320</v>
      </c>
      <c r="B23" s="19" t="s">
        <v>318</v>
      </c>
      <c r="C23" s="19" t="s">
        <v>33</v>
      </c>
      <c r="D23" s="18" t="s">
        <v>319</v>
      </c>
      <c r="E23" s="20">
        <v>2946.7</v>
      </c>
      <c r="F23" s="20"/>
      <c r="G23" s="20"/>
      <c r="H23" s="20"/>
      <c r="I23" s="20"/>
      <c r="J23" s="20"/>
      <c r="K23" s="20"/>
      <c r="L23" s="20"/>
      <c r="M23" s="20"/>
      <c r="N23" s="20"/>
      <c r="O23" s="20">
        <f t="shared" ref="O23:O84" si="3">E23+H23</f>
        <v>2946.7</v>
      </c>
    </row>
    <row r="24" spans="1:16" s="29" customFormat="1" ht="31.5" x14ac:dyDescent="0.25">
      <c r="A24" s="19" t="s">
        <v>245</v>
      </c>
      <c r="B24" s="19" t="s">
        <v>244</v>
      </c>
      <c r="C24" s="19" t="s">
        <v>35</v>
      </c>
      <c r="D24" s="18" t="s">
        <v>246</v>
      </c>
      <c r="E24" s="20">
        <f>300+500</f>
        <v>800</v>
      </c>
      <c r="F24" s="20"/>
      <c r="G24" s="20"/>
      <c r="H24" s="20"/>
      <c r="I24" s="20"/>
      <c r="J24" s="20"/>
      <c r="K24" s="20"/>
      <c r="L24" s="20"/>
      <c r="M24" s="20"/>
      <c r="N24" s="20"/>
      <c r="O24" s="20">
        <f t="shared" si="3"/>
        <v>800</v>
      </c>
    </row>
    <row r="25" spans="1:16" s="29" customFormat="1" ht="15.75" x14ac:dyDescent="0.25">
      <c r="A25" s="19" t="s">
        <v>197</v>
      </c>
      <c r="B25" s="19" t="s">
        <v>196</v>
      </c>
      <c r="C25" s="19" t="s">
        <v>38</v>
      </c>
      <c r="D25" s="12" t="s">
        <v>39</v>
      </c>
      <c r="E25" s="20">
        <v>200</v>
      </c>
      <c r="F25" s="20"/>
      <c r="G25" s="20"/>
      <c r="H25" s="20"/>
      <c r="I25" s="20"/>
      <c r="J25" s="20"/>
      <c r="K25" s="20"/>
      <c r="L25" s="20"/>
      <c r="M25" s="20"/>
      <c r="N25" s="20"/>
      <c r="O25" s="20">
        <f t="shared" si="3"/>
        <v>200</v>
      </c>
    </row>
    <row r="26" spans="1:16" s="29" customFormat="1" ht="31.5" x14ac:dyDescent="0.25">
      <c r="A26" s="19" t="s">
        <v>242</v>
      </c>
      <c r="B26" s="19" t="s">
        <v>241</v>
      </c>
      <c r="C26" s="19" t="s">
        <v>58</v>
      </c>
      <c r="D26" s="12" t="s">
        <v>243</v>
      </c>
      <c r="E26" s="20">
        <v>40</v>
      </c>
      <c r="F26" s="20"/>
      <c r="G26" s="20"/>
      <c r="H26" s="20"/>
      <c r="I26" s="20"/>
      <c r="J26" s="20"/>
      <c r="K26" s="20"/>
      <c r="L26" s="20"/>
      <c r="M26" s="20"/>
      <c r="N26" s="20"/>
      <c r="O26" s="20">
        <f t="shared" si="3"/>
        <v>40</v>
      </c>
    </row>
    <row r="27" spans="1:16" s="29" customFormat="1" ht="31.5" x14ac:dyDescent="0.25">
      <c r="A27" s="19" t="s">
        <v>297</v>
      </c>
      <c r="B27" s="19" t="s">
        <v>296</v>
      </c>
      <c r="C27" s="19" t="s">
        <v>58</v>
      </c>
      <c r="D27" s="18" t="s">
        <v>298</v>
      </c>
      <c r="E27" s="20">
        <v>3341.7</v>
      </c>
      <c r="F27" s="20"/>
      <c r="G27" s="20"/>
      <c r="H27" s="20"/>
      <c r="I27" s="20"/>
      <c r="J27" s="20"/>
      <c r="K27" s="20"/>
      <c r="L27" s="20"/>
      <c r="M27" s="20"/>
      <c r="N27" s="20"/>
      <c r="O27" s="20">
        <f t="shared" si="3"/>
        <v>3341.7</v>
      </c>
    </row>
    <row r="28" spans="1:16" s="29" customFormat="1" ht="47.25" x14ac:dyDescent="0.25">
      <c r="A28" s="19" t="s">
        <v>195</v>
      </c>
      <c r="B28" s="19" t="s">
        <v>194</v>
      </c>
      <c r="C28" s="19" t="s">
        <v>36</v>
      </c>
      <c r="D28" s="12" t="s">
        <v>299</v>
      </c>
      <c r="E28" s="20">
        <v>237.5</v>
      </c>
      <c r="F28" s="20"/>
      <c r="G28" s="20"/>
      <c r="H28" s="20"/>
      <c r="I28" s="20"/>
      <c r="J28" s="20"/>
      <c r="K28" s="20"/>
      <c r="L28" s="20"/>
      <c r="M28" s="20"/>
      <c r="N28" s="20"/>
      <c r="O28" s="20">
        <f t="shared" si="3"/>
        <v>237.5</v>
      </c>
    </row>
    <row r="29" spans="1:16" s="29" customFormat="1" ht="31.5" x14ac:dyDescent="0.25">
      <c r="A29" s="19" t="s">
        <v>275</v>
      </c>
      <c r="B29" s="19" t="s">
        <v>274</v>
      </c>
      <c r="C29" s="19" t="s">
        <v>101</v>
      </c>
      <c r="D29" s="18" t="s">
        <v>295</v>
      </c>
      <c r="E29" s="20"/>
      <c r="F29" s="20"/>
      <c r="G29" s="20"/>
      <c r="H29" s="20">
        <f>I29+L29</f>
        <v>480</v>
      </c>
      <c r="I29" s="20">
        <f>60+20+50+90+70+190</f>
        <v>480</v>
      </c>
      <c r="J29" s="20"/>
      <c r="K29" s="20"/>
      <c r="L29" s="20"/>
      <c r="M29" s="20"/>
      <c r="N29" s="20"/>
      <c r="O29" s="20">
        <f t="shared" si="3"/>
        <v>480</v>
      </c>
    </row>
    <row r="30" spans="1:16" s="29" customFormat="1" ht="31.5" x14ac:dyDescent="0.25">
      <c r="A30" s="19" t="s">
        <v>192</v>
      </c>
      <c r="B30" s="19" t="s">
        <v>191</v>
      </c>
      <c r="C30" s="19" t="s">
        <v>34</v>
      </c>
      <c r="D30" s="18" t="s">
        <v>193</v>
      </c>
      <c r="E30" s="20">
        <v>2812</v>
      </c>
      <c r="F30" s="20"/>
      <c r="G30" s="20"/>
      <c r="H30" s="20"/>
      <c r="I30" s="20"/>
      <c r="J30" s="20"/>
      <c r="K30" s="20"/>
      <c r="L30" s="20"/>
      <c r="M30" s="20"/>
      <c r="N30" s="20"/>
      <c r="O30" s="20">
        <f t="shared" si="3"/>
        <v>2812</v>
      </c>
    </row>
    <row r="31" spans="1:16" s="30" customFormat="1" ht="47.25" x14ac:dyDescent="0.25">
      <c r="A31" s="25" t="s">
        <v>137</v>
      </c>
      <c r="B31" s="25"/>
      <c r="C31" s="25"/>
      <c r="D31" s="26" t="s">
        <v>251</v>
      </c>
      <c r="E31" s="21">
        <f>E32</f>
        <v>3062.4</v>
      </c>
      <c r="F31" s="21">
        <f t="shared" ref="F31:N31" si="4">F32</f>
        <v>1165</v>
      </c>
      <c r="G31" s="21">
        <f t="shared" si="4"/>
        <v>85.9</v>
      </c>
      <c r="H31" s="21">
        <f t="shared" si="4"/>
        <v>80</v>
      </c>
      <c r="I31" s="21">
        <f t="shared" si="4"/>
        <v>10</v>
      </c>
      <c r="J31" s="21"/>
      <c r="K31" s="21"/>
      <c r="L31" s="21">
        <f t="shared" si="4"/>
        <v>70</v>
      </c>
      <c r="M31" s="21">
        <f t="shared" si="4"/>
        <v>70</v>
      </c>
      <c r="N31" s="21">
        <f t="shared" si="4"/>
        <v>70</v>
      </c>
      <c r="O31" s="21">
        <f t="shared" si="3"/>
        <v>3142.4</v>
      </c>
    </row>
    <row r="32" spans="1:16" s="29" customFormat="1" ht="47.25" x14ac:dyDescent="0.25">
      <c r="A32" s="25" t="s">
        <v>138</v>
      </c>
      <c r="B32" s="19"/>
      <c r="C32" s="19"/>
      <c r="D32" s="26" t="s">
        <v>251</v>
      </c>
      <c r="E32" s="21">
        <f>E33+E34</f>
        <v>3062.4</v>
      </c>
      <c r="F32" s="21">
        <f>F33+F34</f>
        <v>1165</v>
      </c>
      <c r="G32" s="21">
        <f>G33+G34</f>
        <v>85.9</v>
      </c>
      <c r="H32" s="21">
        <f>I32+L32</f>
        <v>80</v>
      </c>
      <c r="I32" s="21">
        <f>I33+I34</f>
        <v>10</v>
      </c>
      <c r="J32" s="21"/>
      <c r="K32" s="21"/>
      <c r="L32" s="21">
        <f>L33+L34</f>
        <v>70</v>
      </c>
      <c r="M32" s="21">
        <f>M33+M34</f>
        <v>70</v>
      </c>
      <c r="N32" s="21">
        <f>N33+N34</f>
        <v>70</v>
      </c>
      <c r="O32" s="21">
        <f t="shared" si="3"/>
        <v>3142.4</v>
      </c>
    </row>
    <row r="33" spans="1:18" s="29" customFormat="1" ht="78.75" x14ac:dyDescent="0.25">
      <c r="A33" s="19" t="s">
        <v>139</v>
      </c>
      <c r="B33" s="19" t="s">
        <v>117</v>
      </c>
      <c r="C33" s="19" t="s">
        <v>32</v>
      </c>
      <c r="D33" s="18" t="s">
        <v>118</v>
      </c>
      <c r="E33" s="20">
        <v>1532.4</v>
      </c>
      <c r="F33" s="20">
        <f>955+210</f>
        <v>1165</v>
      </c>
      <c r="G33" s="20">
        <v>85.9</v>
      </c>
      <c r="H33" s="20">
        <f>I33+L33</f>
        <v>10</v>
      </c>
      <c r="I33" s="20">
        <v>10</v>
      </c>
      <c r="J33" s="20"/>
      <c r="K33" s="20"/>
      <c r="L33" s="20"/>
      <c r="M33" s="20"/>
      <c r="N33" s="20"/>
      <c r="O33" s="20">
        <f t="shared" si="3"/>
        <v>1542.4</v>
      </c>
    </row>
    <row r="34" spans="1:18" s="29" customFormat="1" ht="15.75" x14ac:dyDescent="0.25">
      <c r="A34" s="19" t="s">
        <v>142</v>
      </c>
      <c r="B34" s="19" t="s">
        <v>99</v>
      </c>
      <c r="C34" s="19" t="s">
        <v>40</v>
      </c>
      <c r="D34" s="18" t="s">
        <v>121</v>
      </c>
      <c r="E34" s="20">
        <f>1030+500</f>
        <v>1530</v>
      </c>
      <c r="F34" s="20"/>
      <c r="G34" s="20"/>
      <c r="H34" s="20">
        <f>I34+L34</f>
        <v>70</v>
      </c>
      <c r="I34" s="20"/>
      <c r="J34" s="20"/>
      <c r="K34" s="20"/>
      <c r="L34" s="20">
        <v>70</v>
      </c>
      <c r="M34" s="20">
        <v>70</v>
      </c>
      <c r="N34" s="20">
        <v>70</v>
      </c>
      <c r="O34" s="20">
        <f t="shared" si="3"/>
        <v>1600</v>
      </c>
    </row>
    <row r="35" spans="1:18" s="30" customFormat="1" ht="51" customHeight="1" x14ac:dyDescent="0.25">
      <c r="A35" s="25" t="s">
        <v>137</v>
      </c>
      <c r="B35" s="25"/>
      <c r="C35" s="25"/>
      <c r="D35" s="26" t="s">
        <v>17</v>
      </c>
      <c r="E35" s="21">
        <f>E36</f>
        <v>1860.4</v>
      </c>
      <c r="F35" s="21">
        <f>F36</f>
        <v>960</v>
      </c>
      <c r="G35" s="21">
        <f>G36</f>
        <v>32</v>
      </c>
      <c r="H35" s="21">
        <f t="shared" ref="H35:N35" si="5">H36</f>
        <v>0</v>
      </c>
      <c r="I35" s="21">
        <f t="shared" si="5"/>
        <v>0</v>
      </c>
      <c r="J35" s="21">
        <f t="shared" si="5"/>
        <v>0</v>
      </c>
      <c r="K35" s="21">
        <f t="shared" si="5"/>
        <v>0</v>
      </c>
      <c r="L35" s="21">
        <f t="shared" si="5"/>
        <v>0</v>
      </c>
      <c r="M35" s="21">
        <f t="shared" si="5"/>
        <v>0</v>
      </c>
      <c r="N35" s="21">
        <f t="shared" si="5"/>
        <v>0</v>
      </c>
      <c r="O35" s="21">
        <f t="shared" si="3"/>
        <v>1860.4</v>
      </c>
    </row>
    <row r="36" spans="1:18" s="30" customFormat="1" ht="32.25" customHeight="1" x14ac:dyDescent="0.25">
      <c r="A36" s="25" t="s">
        <v>138</v>
      </c>
      <c r="B36" s="25"/>
      <c r="C36" s="25"/>
      <c r="D36" s="26" t="s">
        <v>17</v>
      </c>
      <c r="E36" s="21">
        <f>E37+E38</f>
        <v>1860.4</v>
      </c>
      <c r="F36" s="21">
        <f>F37+F38</f>
        <v>960</v>
      </c>
      <c r="G36" s="21">
        <f>G37+G38</f>
        <v>32</v>
      </c>
      <c r="H36" s="21">
        <f t="shared" ref="H36:N36" si="6">H37+H38</f>
        <v>0</v>
      </c>
      <c r="I36" s="21">
        <f t="shared" si="6"/>
        <v>0</v>
      </c>
      <c r="J36" s="21">
        <f t="shared" si="6"/>
        <v>0</v>
      </c>
      <c r="K36" s="21">
        <f t="shared" si="6"/>
        <v>0</v>
      </c>
      <c r="L36" s="21">
        <f t="shared" si="6"/>
        <v>0</v>
      </c>
      <c r="M36" s="21">
        <f t="shared" si="6"/>
        <v>0</v>
      </c>
      <c r="N36" s="21">
        <f t="shared" si="6"/>
        <v>0</v>
      </c>
      <c r="O36" s="21">
        <f t="shared" si="3"/>
        <v>1860.4</v>
      </c>
    </row>
    <row r="37" spans="1:18" s="29" customFormat="1" ht="78.75" x14ac:dyDescent="0.25">
      <c r="A37" s="19" t="s">
        <v>139</v>
      </c>
      <c r="B37" s="19" t="s">
        <v>117</v>
      </c>
      <c r="C37" s="19" t="s">
        <v>32</v>
      </c>
      <c r="D37" s="18" t="s">
        <v>118</v>
      </c>
      <c r="E37" s="20">
        <v>1061.4000000000001</v>
      </c>
      <c r="F37" s="20">
        <f>787+173</f>
        <v>960</v>
      </c>
      <c r="G37" s="20">
        <v>32</v>
      </c>
      <c r="H37" s="20"/>
      <c r="I37" s="20"/>
      <c r="J37" s="20"/>
      <c r="K37" s="20"/>
      <c r="L37" s="20"/>
      <c r="M37" s="20"/>
      <c r="N37" s="20"/>
      <c r="O37" s="20">
        <f t="shared" si="3"/>
        <v>1061.4000000000001</v>
      </c>
    </row>
    <row r="38" spans="1:18" s="29" customFormat="1" ht="15.75" x14ac:dyDescent="0.25">
      <c r="A38" s="19" t="s">
        <v>142</v>
      </c>
      <c r="B38" s="19" t="s">
        <v>99</v>
      </c>
      <c r="C38" s="19" t="s">
        <v>40</v>
      </c>
      <c r="D38" s="18" t="s">
        <v>121</v>
      </c>
      <c r="E38" s="20">
        <f>299+500</f>
        <v>799</v>
      </c>
      <c r="F38" s="20"/>
      <c r="G38" s="20"/>
      <c r="H38" s="20"/>
      <c r="I38" s="20"/>
      <c r="J38" s="20"/>
      <c r="K38" s="20"/>
      <c r="L38" s="20"/>
      <c r="M38" s="20"/>
      <c r="N38" s="20"/>
      <c r="O38" s="20">
        <f t="shared" si="3"/>
        <v>799</v>
      </c>
    </row>
    <row r="39" spans="1:18" s="30" customFormat="1" ht="29.25" customHeight="1" x14ac:dyDescent="0.25">
      <c r="A39" s="25" t="s">
        <v>137</v>
      </c>
      <c r="B39" s="25"/>
      <c r="C39" s="25"/>
      <c r="D39" s="26" t="s">
        <v>19</v>
      </c>
      <c r="E39" s="21">
        <f t="shared" ref="E39:N39" si="7">E40</f>
        <v>3242.4</v>
      </c>
      <c r="F39" s="21">
        <f t="shared" si="7"/>
        <v>1078</v>
      </c>
      <c r="G39" s="21">
        <f t="shared" si="7"/>
        <v>52.2</v>
      </c>
      <c r="H39" s="21">
        <f t="shared" si="7"/>
        <v>30</v>
      </c>
      <c r="I39" s="21">
        <f t="shared" si="7"/>
        <v>10</v>
      </c>
      <c r="J39" s="21">
        <f t="shared" si="7"/>
        <v>0</v>
      </c>
      <c r="K39" s="21">
        <f t="shared" si="7"/>
        <v>0</v>
      </c>
      <c r="L39" s="21">
        <f t="shared" si="7"/>
        <v>20</v>
      </c>
      <c r="M39" s="21">
        <f t="shared" si="7"/>
        <v>20</v>
      </c>
      <c r="N39" s="21">
        <f t="shared" si="7"/>
        <v>20</v>
      </c>
      <c r="O39" s="21">
        <f t="shared" si="3"/>
        <v>3272.4</v>
      </c>
    </row>
    <row r="40" spans="1:18" s="30" customFormat="1" ht="36" customHeight="1" x14ac:dyDescent="0.25">
      <c r="A40" s="25" t="s">
        <v>138</v>
      </c>
      <c r="B40" s="25"/>
      <c r="C40" s="25"/>
      <c r="D40" s="26" t="s">
        <v>19</v>
      </c>
      <c r="E40" s="21">
        <f>E41+E42</f>
        <v>3242.4</v>
      </c>
      <c r="F40" s="21">
        <f>F41</f>
        <v>1078</v>
      </c>
      <c r="G40" s="21">
        <f>G41</f>
        <v>52.2</v>
      </c>
      <c r="H40" s="21">
        <f>H41+H42</f>
        <v>30</v>
      </c>
      <c r="I40" s="21">
        <f t="shared" ref="I40:N40" si="8">I41+I42</f>
        <v>10</v>
      </c>
      <c r="J40" s="21">
        <f t="shared" si="8"/>
        <v>0</v>
      </c>
      <c r="K40" s="21">
        <f t="shared" si="8"/>
        <v>0</v>
      </c>
      <c r="L40" s="21">
        <f t="shared" si="8"/>
        <v>20</v>
      </c>
      <c r="M40" s="21">
        <f t="shared" si="8"/>
        <v>20</v>
      </c>
      <c r="N40" s="21">
        <f t="shared" si="8"/>
        <v>20</v>
      </c>
      <c r="O40" s="21">
        <f t="shared" si="3"/>
        <v>3272.4</v>
      </c>
    </row>
    <row r="41" spans="1:18" s="29" customFormat="1" ht="78.75" x14ac:dyDescent="0.25">
      <c r="A41" s="19" t="s">
        <v>139</v>
      </c>
      <c r="B41" s="19" t="s">
        <v>117</v>
      </c>
      <c r="C41" s="19" t="s">
        <v>32</v>
      </c>
      <c r="D41" s="18" t="s">
        <v>118</v>
      </c>
      <c r="E41" s="20">
        <v>1322.4</v>
      </c>
      <c r="F41" s="20">
        <f>884+194</f>
        <v>1078</v>
      </c>
      <c r="G41" s="20">
        <v>52.2</v>
      </c>
      <c r="H41" s="24">
        <f>I41+L41</f>
        <v>30</v>
      </c>
      <c r="I41" s="24">
        <v>10</v>
      </c>
      <c r="J41" s="20"/>
      <c r="K41" s="20"/>
      <c r="L41" s="20">
        <v>20</v>
      </c>
      <c r="M41" s="20">
        <v>20</v>
      </c>
      <c r="N41" s="20">
        <v>20</v>
      </c>
      <c r="O41" s="20">
        <f t="shared" si="3"/>
        <v>1352.4</v>
      </c>
    </row>
    <row r="42" spans="1:18" s="29" customFormat="1" ht="15.75" x14ac:dyDescent="0.25">
      <c r="A42" s="19" t="s">
        <v>142</v>
      </c>
      <c r="B42" s="19" t="s">
        <v>99</v>
      </c>
      <c r="C42" s="19" t="s">
        <v>40</v>
      </c>
      <c r="D42" s="18" t="s">
        <v>121</v>
      </c>
      <c r="E42" s="20">
        <f>1420+500</f>
        <v>1920</v>
      </c>
      <c r="F42" s="20"/>
      <c r="G42" s="20"/>
      <c r="H42" s="20"/>
      <c r="I42" s="20"/>
      <c r="J42" s="20"/>
      <c r="K42" s="20"/>
      <c r="L42" s="20"/>
      <c r="M42" s="20"/>
      <c r="N42" s="20"/>
      <c r="O42" s="20">
        <f t="shared" si="3"/>
        <v>1920</v>
      </c>
    </row>
    <row r="43" spans="1:18" s="30" customFormat="1" ht="31.5" x14ac:dyDescent="0.25">
      <c r="A43" s="25" t="s">
        <v>122</v>
      </c>
      <c r="B43" s="25"/>
      <c r="C43" s="25"/>
      <c r="D43" s="26" t="s">
        <v>14</v>
      </c>
      <c r="E43" s="21">
        <f>E44</f>
        <v>225805.90000000002</v>
      </c>
      <c r="F43" s="21">
        <f t="shared" ref="F43:N43" si="9">F44</f>
        <v>174741.40000000002</v>
      </c>
      <c r="G43" s="21">
        <f t="shared" si="9"/>
        <v>22503.800000000003</v>
      </c>
      <c r="H43" s="21">
        <f t="shared" si="9"/>
        <v>17406.300999999999</v>
      </c>
      <c r="I43" s="21">
        <f t="shared" si="9"/>
        <v>9386.3009999999995</v>
      </c>
      <c r="J43" s="21">
        <f t="shared" si="9"/>
        <v>0</v>
      </c>
      <c r="K43" s="21">
        <f t="shared" si="9"/>
        <v>0</v>
      </c>
      <c r="L43" s="21">
        <f t="shared" si="9"/>
        <v>8020</v>
      </c>
      <c r="M43" s="21">
        <f t="shared" si="9"/>
        <v>8000</v>
      </c>
      <c r="N43" s="21">
        <f t="shared" si="9"/>
        <v>8000</v>
      </c>
      <c r="O43" s="21">
        <f t="shared" si="3"/>
        <v>243212.20100000003</v>
      </c>
    </row>
    <row r="44" spans="1:18" s="29" customFormat="1" ht="31.5" x14ac:dyDescent="0.25">
      <c r="A44" s="25" t="s">
        <v>123</v>
      </c>
      <c r="B44" s="19"/>
      <c r="C44" s="19"/>
      <c r="D44" s="26" t="s">
        <v>14</v>
      </c>
      <c r="E44" s="21">
        <f>E45+E46+E47+E49+E51+E53+E54+E55+E56+E57+E58+E59+E60</f>
        <v>225805.90000000002</v>
      </c>
      <c r="F44" s="21">
        <f t="shared" ref="F44:N44" si="10">F45+F46+F47+F49+F51+F53+F54+F55+F56+F57+F58+F59+F60</f>
        <v>174741.40000000002</v>
      </c>
      <c r="G44" s="21">
        <f t="shared" si="10"/>
        <v>22503.800000000003</v>
      </c>
      <c r="H44" s="21">
        <f>I44+L44</f>
        <v>17406.300999999999</v>
      </c>
      <c r="I44" s="21">
        <f t="shared" si="10"/>
        <v>9386.3009999999995</v>
      </c>
      <c r="J44" s="21">
        <f t="shared" si="10"/>
        <v>0</v>
      </c>
      <c r="K44" s="21">
        <f t="shared" si="10"/>
        <v>0</v>
      </c>
      <c r="L44" s="21">
        <f t="shared" si="10"/>
        <v>8020</v>
      </c>
      <c r="M44" s="21">
        <f t="shared" si="10"/>
        <v>8000</v>
      </c>
      <c r="N44" s="21">
        <f t="shared" si="10"/>
        <v>8000</v>
      </c>
      <c r="O44" s="21">
        <f t="shared" si="3"/>
        <v>243212.20100000003</v>
      </c>
    </row>
    <row r="45" spans="1:18" s="29" customFormat="1" ht="47.25" x14ac:dyDescent="0.25">
      <c r="A45" s="19" t="s">
        <v>125</v>
      </c>
      <c r="B45" s="19" t="s">
        <v>124</v>
      </c>
      <c r="C45" s="19" t="s">
        <v>32</v>
      </c>
      <c r="D45" s="27" t="s">
        <v>126</v>
      </c>
      <c r="E45" s="20">
        <v>1762.6</v>
      </c>
      <c r="F45" s="20">
        <f>1412+311</f>
        <v>1723</v>
      </c>
      <c r="G45" s="20">
        <v>21.7</v>
      </c>
      <c r="H45" s="20">
        <f t="shared" ref="H45:H60" si="11">I45+L45</f>
        <v>0</v>
      </c>
      <c r="I45" s="20"/>
      <c r="J45" s="20"/>
      <c r="K45" s="20"/>
      <c r="L45" s="20"/>
      <c r="M45" s="20"/>
      <c r="N45" s="20"/>
      <c r="O45" s="20">
        <f t="shared" si="3"/>
        <v>1762.6</v>
      </c>
    </row>
    <row r="46" spans="1:18" s="29" customFormat="1" ht="15.75" x14ac:dyDescent="0.25">
      <c r="A46" s="19" t="s">
        <v>127</v>
      </c>
      <c r="B46" s="19" t="s">
        <v>42</v>
      </c>
      <c r="C46" s="19" t="s">
        <v>43</v>
      </c>
      <c r="D46" s="12" t="s">
        <v>128</v>
      </c>
      <c r="E46" s="28">
        <v>75595.600000000006</v>
      </c>
      <c r="F46" s="28">
        <f>44857.2+9868.6</f>
        <v>54725.799999999996</v>
      </c>
      <c r="G46" s="28">
        <v>10509.3</v>
      </c>
      <c r="H46" s="20">
        <f t="shared" si="11"/>
        <v>12024.9</v>
      </c>
      <c r="I46" s="28">
        <v>8924.9</v>
      </c>
      <c r="J46" s="28"/>
      <c r="K46" s="28"/>
      <c r="L46" s="28">
        <f>2400+700</f>
        <v>3100</v>
      </c>
      <c r="M46" s="28">
        <f>2400+700</f>
        <v>3100</v>
      </c>
      <c r="N46" s="28">
        <f>2400+700</f>
        <v>3100</v>
      </c>
      <c r="O46" s="20">
        <f t="shared" si="3"/>
        <v>87620.5</v>
      </c>
    </row>
    <row r="47" spans="1:18" s="29" customFormat="1" ht="78.75" x14ac:dyDescent="0.25">
      <c r="A47" s="19" t="s">
        <v>129</v>
      </c>
      <c r="B47" s="19" t="s">
        <v>44</v>
      </c>
      <c r="C47" s="19" t="s">
        <v>45</v>
      </c>
      <c r="D47" s="27" t="s">
        <v>46</v>
      </c>
      <c r="E47" s="28">
        <v>106993.60000000001</v>
      </c>
      <c r="F47" s="28">
        <f>75279.3+16561.4</f>
        <v>91840.700000000012</v>
      </c>
      <c r="G47" s="28">
        <v>10334.1</v>
      </c>
      <c r="H47" s="20">
        <f t="shared" si="11"/>
        <v>3925.6</v>
      </c>
      <c r="I47" s="28">
        <v>295.60000000000002</v>
      </c>
      <c r="J47" s="28"/>
      <c r="K47" s="28"/>
      <c r="L47" s="28">
        <f>1630+2000</f>
        <v>3630</v>
      </c>
      <c r="M47" s="28">
        <f>1630+2000</f>
        <v>3630</v>
      </c>
      <c r="N47" s="28">
        <f>1630+2000</f>
        <v>3630</v>
      </c>
      <c r="O47" s="20">
        <f t="shared" si="3"/>
        <v>110919.20000000001</v>
      </c>
      <c r="Q47" s="51"/>
    </row>
    <row r="48" spans="1:18" s="29" customFormat="1" ht="63" x14ac:dyDescent="0.25">
      <c r="A48" s="19"/>
      <c r="B48" s="19"/>
      <c r="C48" s="19"/>
      <c r="D48" s="12" t="s">
        <v>26</v>
      </c>
      <c r="E48" s="28">
        <v>73022.600000000006</v>
      </c>
      <c r="F48" s="28">
        <v>73022.600000000006</v>
      </c>
      <c r="G48" s="28"/>
      <c r="H48" s="20">
        <f t="shared" si="11"/>
        <v>0</v>
      </c>
      <c r="I48" s="28"/>
      <c r="J48" s="28"/>
      <c r="K48" s="28"/>
      <c r="L48" s="28"/>
      <c r="M48" s="28"/>
      <c r="N48" s="28"/>
      <c r="O48" s="20">
        <f t="shared" si="3"/>
        <v>73022.600000000006</v>
      </c>
      <c r="R48" s="52"/>
    </row>
    <row r="49" spans="1:18" s="29" customFormat="1" ht="31.5" x14ac:dyDescent="0.25">
      <c r="A49" s="19" t="s">
        <v>130</v>
      </c>
      <c r="B49" s="19" t="s">
        <v>47</v>
      </c>
      <c r="C49" s="19" t="s">
        <v>45</v>
      </c>
      <c r="D49" s="27" t="s">
        <v>48</v>
      </c>
      <c r="E49" s="28">
        <v>761.8</v>
      </c>
      <c r="F49" s="28">
        <f>490.8+202.9</f>
        <v>693.7</v>
      </c>
      <c r="G49" s="28">
        <v>64</v>
      </c>
      <c r="H49" s="20">
        <f t="shared" si="11"/>
        <v>0</v>
      </c>
      <c r="I49" s="28"/>
      <c r="J49" s="28"/>
      <c r="K49" s="28"/>
      <c r="L49" s="28"/>
      <c r="M49" s="28"/>
      <c r="N49" s="28"/>
      <c r="O49" s="20">
        <f t="shared" si="3"/>
        <v>761.8</v>
      </c>
      <c r="R49" s="52"/>
    </row>
    <row r="50" spans="1:18" s="29" customFormat="1" ht="63" x14ac:dyDescent="0.25">
      <c r="A50" s="19"/>
      <c r="B50" s="19"/>
      <c r="C50" s="19"/>
      <c r="D50" s="12" t="s">
        <v>26</v>
      </c>
      <c r="E50" s="28">
        <v>543.6</v>
      </c>
      <c r="F50" s="28">
        <v>543.6</v>
      </c>
      <c r="G50" s="28"/>
      <c r="H50" s="20">
        <f t="shared" si="11"/>
        <v>0</v>
      </c>
      <c r="I50" s="28"/>
      <c r="J50" s="28"/>
      <c r="K50" s="28"/>
      <c r="L50" s="28"/>
      <c r="M50" s="28"/>
      <c r="N50" s="28"/>
      <c r="O50" s="20">
        <f t="shared" si="3"/>
        <v>543.6</v>
      </c>
      <c r="R50" s="52"/>
    </row>
    <row r="51" spans="1:18" s="29" customFormat="1" ht="94.5" x14ac:dyDescent="0.25">
      <c r="A51" s="19" t="s">
        <v>131</v>
      </c>
      <c r="B51" s="19" t="s">
        <v>76</v>
      </c>
      <c r="C51" s="19" t="s">
        <v>49</v>
      </c>
      <c r="D51" s="27" t="s">
        <v>107</v>
      </c>
      <c r="E51" s="28">
        <v>8280.4</v>
      </c>
      <c r="F51" s="28">
        <f>5752.3+1265.5</f>
        <v>7017.8</v>
      </c>
      <c r="G51" s="28">
        <v>624.20000000000005</v>
      </c>
      <c r="H51" s="20">
        <f t="shared" si="11"/>
        <v>300</v>
      </c>
      <c r="I51" s="28"/>
      <c r="J51" s="28"/>
      <c r="K51" s="28"/>
      <c r="L51" s="28">
        <v>300</v>
      </c>
      <c r="M51" s="28">
        <v>300</v>
      </c>
      <c r="N51" s="28">
        <v>300</v>
      </c>
      <c r="O51" s="20">
        <f t="shared" si="3"/>
        <v>8580.4</v>
      </c>
    </row>
    <row r="52" spans="1:18" s="29" customFormat="1" ht="63" x14ac:dyDescent="0.25">
      <c r="A52" s="19"/>
      <c r="B52" s="19"/>
      <c r="C52" s="19"/>
      <c r="D52" s="12" t="s">
        <v>26</v>
      </c>
      <c r="E52" s="28">
        <v>6002.5</v>
      </c>
      <c r="F52" s="28">
        <v>6002.5</v>
      </c>
      <c r="G52" s="28"/>
      <c r="H52" s="20">
        <f t="shared" si="11"/>
        <v>0</v>
      </c>
      <c r="I52" s="28"/>
      <c r="J52" s="28"/>
      <c r="K52" s="28"/>
      <c r="L52" s="28"/>
      <c r="M52" s="28"/>
      <c r="N52" s="28"/>
      <c r="O52" s="20">
        <f t="shared" si="3"/>
        <v>6002.5</v>
      </c>
    </row>
    <row r="53" spans="1:18" s="29" customFormat="1" ht="47.25" x14ac:dyDescent="0.25">
      <c r="A53" s="19" t="s">
        <v>132</v>
      </c>
      <c r="B53" s="19" t="s">
        <v>33</v>
      </c>
      <c r="C53" s="19" t="s">
        <v>50</v>
      </c>
      <c r="D53" s="27" t="s">
        <v>51</v>
      </c>
      <c r="E53" s="28">
        <v>11228</v>
      </c>
      <c r="F53" s="28">
        <f>7712.8+1696.8</f>
        <v>9409.6</v>
      </c>
      <c r="G53" s="28">
        <v>377.7</v>
      </c>
      <c r="H53" s="20">
        <f t="shared" si="11"/>
        <v>1155.8</v>
      </c>
      <c r="I53" s="28">
        <v>165.8</v>
      </c>
      <c r="J53" s="28"/>
      <c r="K53" s="28"/>
      <c r="L53" s="28">
        <f>20+970</f>
        <v>990</v>
      </c>
      <c r="M53" s="28">
        <v>970</v>
      </c>
      <c r="N53" s="28">
        <v>970</v>
      </c>
      <c r="O53" s="20">
        <f t="shared" si="3"/>
        <v>12383.8</v>
      </c>
    </row>
    <row r="54" spans="1:18" s="29" customFormat="1" ht="31.5" x14ac:dyDescent="0.25">
      <c r="A54" s="19" t="s">
        <v>135</v>
      </c>
      <c r="B54" s="19" t="s">
        <v>133</v>
      </c>
      <c r="C54" s="19" t="s">
        <v>52</v>
      </c>
      <c r="D54" s="12" t="s">
        <v>134</v>
      </c>
      <c r="E54" s="28">
        <v>180.5</v>
      </c>
      <c r="F54" s="28"/>
      <c r="G54" s="28"/>
      <c r="H54" s="20">
        <f t="shared" si="11"/>
        <v>0</v>
      </c>
      <c r="I54" s="28"/>
      <c r="J54" s="28"/>
      <c r="K54" s="28"/>
      <c r="L54" s="28"/>
      <c r="M54" s="28"/>
      <c r="N54" s="28"/>
      <c r="O54" s="20">
        <f t="shared" si="3"/>
        <v>180.5</v>
      </c>
    </row>
    <row r="55" spans="1:18" s="29" customFormat="1" ht="31.5" x14ac:dyDescent="0.25">
      <c r="A55" s="19" t="s">
        <v>151</v>
      </c>
      <c r="B55" s="19" t="s">
        <v>150</v>
      </c>
      <c r="C55" s="19" t="s">
        <v>53</v>
      </c>
      <c r="D55" s="27" t="s">
        <v>152</v>
      </c>
      <c r="E55" s="28">
        <f>1827.8-315.1</f>
        <v>1512.6999999999998</v>
      </c>
      <c r="F55" s="28">
        <f>1358.3+298.8-315.1</f>
        <v>1342</v>
      </c>
      <c r="G55" s="28">
        <v>26.2</v>
      </c>
      <c r="H55" s="20">
        <f t="shared" si="11"/>
        <v>0</v>
      </c>
      <c r="I55" s="28"/>
      <c r="J55" s="28"/>
      <c r="K55" s="28"/>
      <c r="L55" s="28"/>
      <c r="M55" s="28"/>
      <c r="N55" s="28"/>
      <c r="O55" s="20">
        <f t="shared" si="3"/>
        <v>1512.6999999999998</v>
      </c>
    </row>
    <row r="56" spans="1:18" s="29" customFormat="1" ht="31.5" x14ac:dyDescent="0.25">
      <c r="A56" s="19" t="s">
        <v>285</v>
      </c>
      <c r="B56" s="19" t="s">
        <v>284</v>
      </c>
      <c r="C56" s="19" t="s">
        <v>53</v>
      </c>
      <c r="D56" s="27" t="s">
        <v>324</v>
      </c>
      <c r="E56" s="28">
        <f>2705.8-1827.8+2313.9+1584.5+315.1</f>
        <v>5091.5000000000009</v>
      </c>
      <c r="F56" s="28">
        <f>2073.1+456.1-1657.1+812.7+178.8+1763.4+388+315.1</f>
        <v>4330.1000000000004</v>
      </c>
      <c r="G56" s="28">
        <f>46.6+235.1</f>
        <v>281.7</v>
      </c>
      <c r="H56" s="20">
        <f t="shared" si="11"/>
        <v>1E-3</v>
      </c>
      <c r="I56" s="28">
        <v>1E-3</v>
      </c>
      <c r="J56" s="28"/>
      <c r="K56" s="28"/>
      <c r="L56" s="28"/>
      <c r="M56" s="28"/>
      <c r="N56" s="28"/>
      <c r="O56" s="20">
        <f t="shared" si="3"/>
        <v>5091.5010000000011</v>
      </c>
    </row>
    <row r="57" spans="1:18" s="29" customFormat="1" ht="15.75" x14ac:dyDescent="0.25">
      <c r="A57" s="19" t="s">
        <v>325</v>
      </c>
      <c r="B57" s="19" t="s">
        <v>326</v>
      </c>
      <c r="C57" s="19" t="s">
        <v>53</v>
      </c>
      <c r="D57" s="27" t="s">
        <v>327</v>
      </c>
      <c r="E57" s="28">
        <v>40.9</v>
      </c>
      <c r="F57" s="28"/>
      <c r="G57" s="28"/>
      <c r="H57" s="20"/>
      <c r="I57" s="28"/>
      <c r="J57" s="28"/>
      <c r="K57" s="28"/>
      <c r="L57" s="28"/>
      <c r="M57" s="28"/>
      <c r="N57" s="28"/>
      <c r="O57" s="20"/>
    </row>
    <row r="58" spans="1:18" s="29" customFormat="1" ht="78.75" x14ac:dyDescent="0.25">
      <c r="A58" s="19" t="s">
        <v>136</v>
      </c>
      <c r="B58" s="19" t="s">
        <v>61</v>
      </c>
      <c r="C58" s="19" t="s">
        <v>54</v>
      </c>
      <c r="D58" s="12" t="s">
        <v>55</v>
      </c>
      <c r="E58" s="20">
        <v>1031.7</v>
      </c>
      <c r="F58" s="20"/>
      <c r="G58" s="20"/>
      <c r="H58" s="20">
        <f t="shared" si="11"/>
        <v>0</v>
      </c>
      <c r="I58" s="20"/>
      <c r="J58" s="20"/>
      <c r="K58" s="20"/>
      <c r="L58" s="20"/>
      <c r="M58" s="20"/>
      <c r="N58" s="20"/>
      <c r="O58" s="20">
        <f t="shared" si="3"/>
        <v>1031.7</v>
      </c>
    </row>
    <row r="59" spans="1:18" s="29" customFormat="1" ht="31.5" x14ac:dyDescent="0.25">
      <c r="A59" s="19" t="s">
        <v>321</v>
      </c>
      <c r="B59" s="19" t="s">
        <v>318</v>
      </c>
      <c r="C59" s="19" t="s">
        <v>33</v>
      </c>
      <c r="D59" s="27" t="s">
        <v>319</v>
      </c>
      <c r="E59" s="20">
        <v>9000.4</v>
      </c>
      <c r="F59" s="20"/>
      <c r="G59" s="20"/>
      <c r="H59" s="20">
        <f t="shared" si="11"/>
        <v>0</v>
      </c>
      <c r="I59" s="20"/>
      <c r="J59" s="20"/>
      <c r="K59" s="20"/>
      <c r="L59" s="20"/>
      <c r="M59" s="20"/>
      <c r="N59" s="20"/>
      <c r="O59" s="20">
        <f t="shared" si="3"/>
        <v>9000.4</v>
      </c>
    </row>
    <row r="60" spans="1:18" s="29" customFormat="1" ht="47.25" x14ac:dyDescent="0.25">
      <c r="A60" s="19" t="s">
        <v>143</v>
      </c>
      <c r="B60" s="19" t="s">
        <v>110</v>
      </c>
      <c r="C60" s="19" t="s">
        <v>56</v>
      </c>
      <c r="D60" s="12" t="s">
        <v>57</v>
      </c>
      <c r="E60" s="28">
        <v>4326.2</v>
      </c>
      <c r="F60" s="28">
        <f>2998.9+659.8</f>
        <v>3658.7</v>
      </c>
      <c r="G60" s="28">
        <v>264.89999999999998</v>
      </c>
      <c r="H60" s="20">
        <f t="shared" si="11"/>
        <v>0</v>
      </c>
      <c r="I60" s="28"/>
      <c r="J60" s="28"/>
      <c r="K60" s="28"/>
      <c r="L60" s="28"/>
      <c r="M60" s="28"/>
      <c r="N60" s="28"/>
      <c r="O60" s="20">
        <f t="shared" si="3"/>
        <v>4326.2</v>
      </c>
    </row>
    <row r="61" spans="1:18" s="30" customFormat="1" ht="46.5" customHeight="1" x14ac:dyDescent="0.25">
      <c r="A61" s="25" t="s">
        <v>144</v>
      </c>
      <c r="B61" s="25"/>
      <c r="C61" s="25"/>
      <c r="D61" s="26" t="s">
        <v>20</v>
      </c>
      <c r="E61" s="21">
        <f>E62</f>
        <v>139051.50000000003</v>
      </c>
      <c r="F61" s="21">
        <f t="shared" ref="F61:N61" si="12">F62</f>
        <v>14729.1</v>
      </c>
      <c r="G61" s="21">
        <f t="shared" si="12"/>
        <v>403.6</v>
      </c>
      <c r="H61" s="21">
        <f t="shared" si="12"/>
        <v>50</v>
      </c>
      <c r="I61" s="21">
        <f t="shared" si="12"/>
        <v>0</v>
      </c>
      <c r="J61" s="21">
        <f t="shared" si="12"/>
        <v>0</v>
      </c>
      <c r="K61" s="21">
        <f t="shared" si="12"/>
        <v>0</v>
      </c>
      <c r="L61" s="21">
        <f t="shared" si="12"/>
        <v>50</v>
      </c>
      <c r="M61" s="21">
        <f t="shared" si="12"/>
        <v>36</v>
      </c>
      <c r="N61" s="21">
        <f t="shared" si="12"/>
        <v>36</v>
      </c>
      <c r="O61" s="21">
        <f t="shared" si="3"/>
        <v>139101.50000000003</v>
      </c>
    </row>
    <row r="62" spans="1:18" s="29" customFormat="1" ht="31.5" customHeight="1" x14ac:dyDescent="0.25">
      <c r="A62" s="25" t="s">
        <v>145</v>
      </c>
      <c r="B62" s="19"/>
      <c r="C62" s="19"/>
      <c r="D62" s="26" t="s">
        <v>20</v>
      </c>
      <c r="E62" s="21">
        <f>E63+E82+E83+E84+E80+E85+E64+E65+E66+E67+E68+E69+E70+E71+E72+E73+E74+E75+E76+E77+E79+E81+E78</f>
        <v>139051.50000000003</v>
      </c>
      <c r="F62" s="21">
        <f t="shared" ref="F62:N62" si="13">F63+F82+F83+F84+F80+F85+F64+F65+F66+F67+F68+F69+F70+F71+F72+F73+F74+F75+F76+F77+F79+F81</f>
        <v>14729.1</v>
      </c>
      <c r="G62" s="21">
        <f t="shared" si="13"/>
        <v>403.6</v>
      </c>
      <c r="H62" s="21">
        <f>I62+L62</f>
        <v>50</v>
      </c>
      <c r="I62" s="21">
        <f t="shared" si="13"/>
        <v>0</v>
      </c>
      <c r="J62" s="21">
        <f t="shared" si="13"/>
        <v>0</v>
      </c>
      <c r="K62" s="21">
        <f t="shared" si="13"/>
        <v>0</v>
      </c>
      <c r="L62" s="21">
        <f t="shared" si="13"/>
        <v>50</v>
      </c>
      <c r="M62" s="21">
        <f t="shared" si="13"/>
        <v>36</v>
      </c>
      <c r="N62" s="21">
        <f t="shared" si="13"/>
        <v>36</v>
      </c>
      <c r="O62" s="21">
        <f t="shared" si="3"/>
        <v>139101.50000000003</v>
      </c>
    </row>
    <row r="63" spans="1:18" s="29" customFormat="1" ht="53.25" customHeight="1" x14ac:dyDescent="0.25">
      <c r="A63" s="19" t="s">
        <v>146</v>
      </c>
      <c r="B63" s="19" t="s">
        <v>124</v>
      </c>
      <c r="C63" s="19" t="s">
        <v>32</v>
      </c>
      <c r="D63" s="18" t="s">
        <v>126</v>
      </c>
      <c r="E63" s="20">
        <v>8717.1</v>
      </c>
      <c r="F63" s="20">
        <f>6646+1462</f>
        <v>8108</v>
      </c>
      <c r="G63" s="20">
        <v>241.9</v>
      </c>
      <c r="H63" s="20">
        <f>I63+L63</f>
        <v>36</v>
      </c>
      <c r="I63" s="20"/>
      <c r="J63" s="20"/>
      <c r="K63" s="20"/>
      <c r="L63" s="20">
        <v>36</v>
      </c>
      <c r="M63" s="20">
        <v>36</v>
      </c>
      <c r="N63" s="20">
        <v>36</v>
      </c>
      <c r="O63" s="20">
        <f t="shared" si="3"/>
        <v>8753.1</v>
      </c>
    </row>
    <row r="64" spans="1:18" s="15" customFormat="1" ht="47.25" x14ac:dyDescent="0.25">
      <c r="A64" s="50" t="s">
        <v>220</v>
      </c>
      <c r="B64" s="50" t="s">
        <v>72</v>
      </c>
      <c r="C64" s="50" t="s">
        <v>47</v>
      </c>
      <c r="D64" s="12" t="s">
        <v>219</v>
      </c>
      <c r="E64" s="53">
        <v>8610.7000000000007</v>
      </c>
      <c r="F64" s="53"/>
      <c r="G64" s="53"/>
      <c r="H64" s="49"/>
      <c r="I64" s="53"/>
      <c r="J64" s="53"/>
      <c r="K64" s="53"/>
      <c r="L64" s="53"/>
      <c r="M64" s="53"/>
      <c r="N64" s="53"/>
      <c r="O64" s="53">
        <f t="shared" si="3"/>
        <v>8610.7000000000007</v>
      </c>
    </row>
    <row r="65" spans="1:15" s="15" customFormat="1" ht="47.25" x14ac:dyDescent="0.25">
      <c r="A65" s="50" t="s">
        <v>221</v>
      </c>
      <c r="B65" s="50" t="s">
        <v>75</v>
      </c>
      <c r="C65" s="50" t="s">
        <v>47</v>
      </c>
      <c r="D65" s="12" t="s">
        <v>91</v>
      </c>
      <c r="E65" s="53">
        <v>28827</v>
      </c>
      <c r="F65" s="53"/>
      <c r="G65" s="53"/>
      <c r="H65" s="49"/>
      <c r="I65" s="53"/>
      <c r="J65" s="53"/>
      <c r="K65" s="53"/>
      <c r="L65" s="53"/>
      <c r="M65" s="53"/>
      <c r="N65" s="53"/>
      <c r="O65" s="53">
        <f t="shared" si="3"/>
        <v>28827</v>
      </c>
    </row>
    <row r="66" spans="1:15" s="15" customFormat="1" ht="63" x14ac:dyDescent="0.25">
      <c r="A66" s="50" t="s">
        <v>223</v>
      </c>
      <c r="B66" s="50" t="s">
        <v>73</v>
      </c>
      <c r="C66" s="50" t="s">
        <v>47</v>
      </c>
      <c r="D66" s="12" t="s">
        <v>222</v>
      </c>
      <c r="E66" s="53">
        <v>85</v>
      </c>
      <c r="F66" s="53"/>
      <c r="G66" s="53"/>
      <c r="H66" s="49"/>
      <c r="I66" s="53"/>
      <c r="J66" s="53"/>
      <c r="K66" s="53"/>
      <c r="L66" s="53"/>
      <c r="M66" s="53"/>
      <c r="N66" s="53"/>
      <c r="O66" s="53">
        <f t="shared" si="3"/>
        <v>85</v>
      </c>
    </row>
    <row r="67" spans="1:15" s="15" customFormat="1" ht="63" x14ac:dyDescent="0.25">
      <c r="A67" s="50" t="s">
        <v>225</v>
      </c>
      <c r="B67" s="50" t="s">
        <v>224</v>
      </c>
      <c r="C67" s="50" t="s">
        <v>68</v>
      </c>
      <c r="D67" s="12" t="s">
        <v>92</v>
      </c>
      <c r="E67" s="53">
        <v>170</v>
      </c>
      <c r="F67" s="53"/>
      <c r="G67" s="53"/>
      <c r="H67" s="49"/>
      <c r="I67" s="53"/>
      <c r="J67" s="53"/>
      <c r="K67" s="53"/>
      <c r="L67" s="53"/>
      <c r="M67" s="53"/>
      <c r="N67" s="53"/>
      <c r="O67" s="53">
        <f t="shared" si="3"/>
        <v>170</v>
      </c>
    </row>
    <row r="68" spans="1:15" s="15" customFormat="1" ht="31.5" x14ac:dyDescent="0.25">
      <c r="A68" s="50" t="s">
        <v>227</v>
      </c>
      <c r="B68" s="50" t="s">
        <v>74</v>
      </c>
      <c r="C68" s="50" t="s">
        <v>47</v>
      </c>
      <c r="D68" s="12" t="s">
        <v>226</v>
      </c>
      <c r="E68" s="53">
        <v>309</v>
      </c>
      <c r="F68" s="53"/>
      <c r="G68" s="53"/>
      <c r="H68" s="49"/>
      <c r="I68" s="53"/>
      <c r="J68" s="53"/>
      <c r="K68" s="53"/>
      <c r="L68" s="53"/>
      <c r="M68" s="53"/>
      <c r="N68" s="53"/>
      <c r="O68" s="53">
        <f t="shared" si="3"/>
        <v>309</v>
      </c>
    </row>
    <row r="69" spans="1:15" s="15" customFormat="1" ht="31.5" x14ac:dyDescent="0.25">
      <c r="A69" s="50" t="s">
        <v>228</v>
      </c>
      <c r="B69" s="50" t="s">
        <v>229</v>
      </c>
      <c r="C69" s="50" t="s">
        <v>76</v>
      </c>
      <c r="D69" s="12" t="s">
        <v>77</v>
      </c>
      <c r="E69" s="53">
        <v>220</v>
      </c>
      <c r="F69" s="53"/>
      <c r="G69" s="53"/>
      <c r="H69" s="49"/>
      <c r="I69" s="53"/>
      <c r="J69" s="53"/>
      <c r="K69" s="53"/>
      <c r="L69" s="53"/>
      <c r="M69" s="53"/>
      <c r="N69" s="53"/>
      <c r="O69" s="53">
        <f t="shared" si="3"/>
        <v>220</v>
      </c>
    </row>
    <row r="70" spans="1:15" ht="30" x14ac:dyDescent="0.25">
      <c r="A70" s="50" t="s">
        <v>230</v>
      </c>
      <c r="B70" s="50" t="s">
        <v>78</v>
      </c>
      <c r="C70" s="50" t="s">
        <v>54</v>
      </c>
      <c r="D70" s="54" t="s">
        <v>79</v>
      </c>
      <c r="E70" s="53">
        <v>726.6</v>
      </c>
      <c r="F70" s="53"/>
      <c r="G70" s="53"/>
      <c r="H70" s="49"/>
      <c r="I70" s="53"/>
      <c r="J70" s="53"/>
      <c r="K70" s="53"/>
      <c r="L70" s="53"/>
      <c r="M70" s="53"/>
      <c r="N70" s="53"/>
      <c r="O70" s="53">
        <f t="shared" si="3"/>
        <v>726.6</v>
      </c>
    </row>
    <row r="71" spans="1:15" x14ac:dyDescent="0.25">
      <c r="A71" s="50" t="s">
        <v>231</v>
      </c>
      <c r="B71" s="50" t="s">
        <v>80</v>
      </c>
      <c r="C71" s="50" t="s">
        <v>54</v>
      </c>
      <c r="D71" s="55" t="s">
        <v>89</v>
      </c>
      <c r="E71" s="56">
        <v>181.3</v>
      </c>
      <c r="F71" s="53"/>
      <c r="G71" s="53"/>
      <c r="H71" s="49"/>
      <c r="I71" s="53"/>
      <c r="J71" s="53"/>
      <c r="K71" s="53"/>
      <c r="L71" s="53"/>
      <c r="M71" s="53"/>
      <c r="N71" s="53"/>
      <c r="O71" s="53">
        <f t="shared" si="3"/>
        <v>181.3</v>
      </c>
    </row>
    <row r="72" spans="1:15" x14ac:dyDescent="0.25">
      <c r="A72" s="50" t="s">
        <v>232</v>
      </c>
      <c r="B72" s="50" t="s">
        <v>81</v>
      </c>
      <c r="C72" s="50" t="s">
        <v>54</v>
      </c>
      <c r="D72" s="54" t="s">
        <v>82</v>
      </c>
      <c r="E72" s="53">
        <f>43161.5-3600</f>
        <v>39561.5</v>
      </c>
      <c r="F72" s="53"/>
      <c r="G72" s="53"/>
      <c r="H72" s="49"/>
      <c r="I72" s="53"/>
      <c r="J72" s="53"/>
      <c r="K72" s="53"/>
      <c r="L72" s="53"/>
      <c r="M72" s="53"/>
      <c r="N72" s="53"/>
      <c r="O72" s="53">
        <f t="shared" si="3"/>
        <v>39561.5</v>
      </c>
    </row>
    <row r="73" spans="1:15" ht="30" x14ac:dyDescent="0.25">
      <c r="A73" s="50" t="s">
        <v>233</v>
      </c>
      <c r="B73" s="50" t="s">
        <v>83</v>
      </c>
      <c r="C73" s="50" t="s">
        <v>54</v>
      </c>
      <c r="D73" s="54" t="s">
        <v>84</v>
      </c>
      <c r="E73" s="53">
        <v>4537.8</v>
      </c>
      <c r="F73" s="53"/>
      <c r="G73" s="53"/>
      <c r="H73" s="49"/>
      <c r="I73" s="53"/>
      <c r="J73" s="53"/>
      <c r="K73" s="53"/>
      <c r="L73" s="53"/>
      <c r="M73" s="53"/>
      <c r="N73" s="53"/>
      <c r="O73" s="53">
        <f t="shared" si="3"/>
        <v>4537.8</v>
      </c>
    </row>
    <row r="74" spans="1:15" x14ac:dyDescent="0.25">
      <c r="A74" s="50" t="s">
        <v>234</v>
      </c>
      <c r="B74" s="50" t="s">
        <v>87</v>
      </c>
      <c r="C74" s="50" t="s">
        <v>54</v>
      </c>
      <c r="D74" s="54" t="s">
        <v>86</v>
      </c>
      <c r="E74" s="53">
        <v>7502.6</v>
      </c>
      <c r="F74" s="53"/>
      <c r="G74" s="53"/>
      <c r="H74" s="49"/>
      <c r="I74" s="53"/>
      <c r="J74" s="53"/>
      <c r="K74" s="53"/>
      <c r="L74" s="53"/>
      <c r="M74" s="53"/>
      <c r="N74" s="53"/>
      <c r="O74" s="53">
        <f t="shared" si="3"/>
        <v>7502.6</v>
      </c>
    </row>
    <row r="75" spans="1:15" x14ac:dyDescent="0.25">
      <c r="A75" s="50" t="s">
        <v>235</v>
      </c>
      <c r="B75" s="50" t="s">
        <v>85</v>
      </c>
      <c r="C75" s="50" t="s">
        <v>54</v>
      </c>
      <c r="D75" s="54" t="s">
        <v>116</v>
      </c>
      <c r="E75" s="53">
        <v>383.3</v>
      </c>
      <c r="F75" s="53"/>
      <c r="G75" s="53"/>
      <c r="H75" s="49"/>
      <c r="I75" s="53"/>
      <c r="J75" s="53"/>
      <c r="K75" s="53"/>
      <c r="L75" s="53"/>
      <c r="M75" s="53"/>
      <c r="N75" s="53"/>
      <c r="O75" s="53">
        <f t="shared" si="3"/>
        <v>383.3</v>
      </c>
    </row>
    <row r="76" spans="1:15" ht="30" x14ac:dyDescent="0.25">
      <c r="A76" s="50" t="s">
        <v>236</v>
      </c>
      <c r="B76" s="50" t="s">
        <v>88</v>
      </c>
      <c r="C76" s="50" t="s">
        <v>54</v>
      </c>
      <c r="D76" s="54" t="s">
        <v>90</v>
      </c>
      <c r="E76" s="53">
        <v>6280.2</v>
      </c>
      <c r="F76" s="53"/>
      <c r="G76" s="53"/>
      <c r="H76" s="49"/>
      <c r="I76" s="53"/>
      <c r="J76" s="53"/>
      <c r="K76" s="53"/>
      <c r="L76" s="53"/>
      <c r="M76" s="53"/>
      <c r="N76" s="53"/>
      <c r="O76" s="56">
        <f t="shared" si="3"/>
        <v>6280.2</v>
      </c>
    </row>
    <row r="77" spans="1:15" ht="47.25" x14ac:dyDescent="0.25">
      <c r="A77" s="50" t="s">
        <v>302</v>
      </c>
      <c r="B77" s="50" t="s">
        <v>304</v>
      </c>
      <c r="C77" s="50" t="s">
        <v>42</v>
      </c>
      <c r="D77" s="12" t="s">
        <v>306</v>
      </c>
      <c r="E77" s="53">
        <v>9025.4</v>
      </c>
      <c r="F77" s="53"/>
      <c r="G77" s="53"/>
      <c r="H77" s="49"/>
      <c r="I77" s="53"/>
      <c r="J77" s="53"/>
      <c r="K77" s="53"/>
      <c r="L77" s="53"/>
      <c r="M77" s="53"/>
      <c r="N77" s="53"/>
      <c r="O77" s="53">
        <f t="shared" si="3"/>
        <v>9025.4</v>
      </c>
    </row>
    <row r="78" spans="1:15" ht="63" x14ac:dyDescent="0.25">
      <c r="A78" s="50" t="s">
        <v>302</v>
      </c>
      <c r="B78" s="50" t="s">
        <v>328</v>
      </c>
      <c r="C78" s="50" t="s">
        <v>42</v>
      </c>
      <c r="D78" s="12" t="s">
        <v>329</v>
      </c>
      <c r="E78" s="53">
        <v>3600</v>
      </c>
      <c r="F78" s="53"/>
      <c r="G78" s="53"/>
      <c r="H78" s="49"/>
      <c r="I78" s="53"/>
      <c r="J78" s="53"/>
      <c r="K78" s="53"/>
      <c r="L78" s="53"/>
      <c r="M78" s="53"/>
      <c r="N78" s="53"/>
      <c r="O78" s="53">
        <f t="shared" si="3"/>
        <v>3600</v>
      </c>
    </row>
    <row r="79" spans="1:15" ht="47.25" x14ac:dyDescent="0.25">
      <c r="A79" s="50" t="s">
        <v>303</v>
      </c>
      <c r="B79" s="50" t="s">
        <v>305</v>
      </c>
      <c r="C79" s="50" t="s">
        <v>42</v>
      </c>
      <c r="D79" s="12" t="s">
        <v>307</v>
      </c>
      <c r="E79" s="53">
        <v>1001.3</v>
      </c>
      <c r="F79" s="49"/>
      <c r="G79" s="49"/>
      <c r="H79" s="49"/>
      <c r="I79" s="49"/>
      <c r="J79" s="49"/>
      <c r="K79" s="49"/>
      <c r="L79" s="49"/>
      <c r="M79" s="49"/>
      <c r="N79" s="49"/>
      <c r="O79" s="49">
        <f t="shared" si="3"/>
        <v>1001.3</v>
      </c>
    </row>
    <row r="80" spans="1:15" ht="63" x14ac:dyDescent="0.25">
      <c r="A80" s="50" t="s">
        <v>250</v>
      </c>
      <c r="B80" s="50" t="s">
        <v>249</v>
      </c>
      <c r="C80" s="50" t="s">
        <v>44</v>
      </c>
      <c r="D80" s="12" t="s">
        <v>308</v>
      </c>
      <c r="E80" s="53">
        <v>5348.1</v>
      </c>
      <c r="F80" s="53">
        <f>4242.5+943.2</f>
        <v>5185.7</v>
      </c>
      <c r="G80" s="53">
        <v>52.4</v>
      </c>
      <c r="H80" s="53">
        <f>I80+L80</f>
        <v>14</v>
      </c>
      <c r="I80" s="53"/>
      <c r="J80" s="53"/>
      <c r="K80" s="53"/>
      <c r="L80" s="53">
        <v>14</v>
      </c>
      <c r="M80" s="53"/>
      <c r="N80" s="53"/>
      <c r="O80" s="53">
        <f t="shared" si="3"/>
        <v>5362.1</v>
      </c>
    </row>
    <row r="81" spans="1:15" s="15" customFormat="1" ht="47.25" x14ac:dyDescent="0.25">
      <c r="A81" s="50" t="s">
        <v>148</v>
      </c>
      <c r="B81" s="50" t="s">
        <v>147</v>
      </c>
      <c r="C81" s="50" t="s">
        <v>54</v>
      </c>
      <c r="D81" s="12" t="s">
        <v>149</v>
      </c>
      <c r="E81" s="57">
        <f>1630.3+1417.9</f>
        <v>3048.2</v>
      </c>
      <c r="F81" s="57">
        <f>1172.5+262.9</f>
        <v>1435.4</v>
      </c>
      <c r="G81" s="57">
        <v>109.3</v>
      </c>
      <c r="H81" s="49"/>
      <c r="I81" s="53"/>
      <c r="J81" s="53"/>
      <c r="K81" s="53"/>
      <c r="L81" s="53"/>
      <c r="M81" s="53"/>
      <c r="N81" s="53"/>
      <c r="O81" s="53">
        <f t="shared" si="3"/>
        <v>3048.2</v>
      </c>
    </row>
    <row r="82" spans="1:15" ht="94.5" x14ac:dyDescent="0.25">
      <c r="A82" s="50" t="s">
        <v>309</v>
      </c>
      <c r="B82" s="50" t="s">
        <v>310</v>
      </c>
      <c r="C82" s="50" t="s">
        <v>42</v>
      </c>
      <c r="D82" s="12" t="s">
        <v>311</v>
      </c>
      <c r="E82" s="57">
        <v>520</v>
      </c>
      <c r="F82" s="57"/>
      <c r="G82" s="57"/>
      <c r="H82" s="53"/>
      <c r="I82" s="53"/>
      <c r="J82" s="53"/>
      <c r="K82" s="53"/>
      <c r="L82" s="53"/>
      <c r="M82" s="53"/>
      <c r="N82" s="53"/>
      <c r="O82" s="53">
        <v>520</v>
      </c>
    </row>
    <row r="83" spans="1:15" ht="94.5" x14ac:dyDescent="0.25">
      <c r="A83" s="50" t="s">
        <v>312</v>
      </c>
      <c r="B83" s="50" t="s">
        <v>313</v>
      </c>
      <c r="C83" s="50" t="s">
        <v>68</v>
      </c>
      <c r="D83" s="12" t="s">
        <v>314</v>
      </c>
      <c r="E83" s="53">
        <v>850</v>
      </c>
      <c r="F83" s="53"/>
      <c r="G83" s="53"/>
      <c r="H83" s="53"/>
      <c r="I83" s="53"/>
      <c r="J83" s="53"/>
      <c r="K83" s="53"/>
      <c r="L83" s="53"/>
      <c r="M83" s="53"/>
      <c r="N83" s="53"/>
      <c r="O83" s="53">
        <f t="shared" si="3"/>
        <v>850</v>
      </c>
    </row>
    <row r="84" spans="1:15" ht="47.25" x14ac:dyDescent="0.25">
      <c r="A84" s="50" t="s">
        <v>315</v>
      </c>
      <c r="B84" s="50" t="s">
        <v>316</v>
      </c>
      <c r="C84" s="50" t="s">
        <v>47</v>
      </c>
      <c r="D84" s="12" t="s">
        <v>317</v>
      </c>
      <c r="E84" s="53">
        <f>50</f>
        <v>50</v>
      </c>
      <c r="F84" s="53"/>
      <c r="G84" s="53"/>
      <c r="H84" s="53"/>
      <c r="I84" s="53"/>
      <c r="J84" s="53"/>
      <c r="K84" s="53"/>
      <c r="L84" s="53"/>
      <c r="M84" s="53"/>
      <c r="N84" s="53"/>
      <c r="O84" s="53">
        <f t="shared" si="3"/>
        <v>50</v>
      </c>
    </row>
    <row r="85" spans="1:15" ht="31.5" x14ac:dyDescent="0.25">
      <c r="A85" s="50" t="s">
        <v>322</v>
      </c>
      <c r="B85" s="50" t="s">
        <v>318</v>
      </c>
      <c r="C85" s="50" t="s">
        <v>33</v>
      </c>
      <c r="D85" s="12" t="s">
        <v>319</v>
      </c>
      <c r="E85" s="53">
        <v>9496.4</v>
      </c>
      <c r="F85" s="53"/>
      <c r="G85" s="53"/>
      <c r="H85" s="53"/>
      <c r="I85" s="53"/>
      <c r="J85" s="53"/>
      <c r="K85" s="53"/>
      <c r="L85" s="53"/>
      <c r="M85" s="53"/>
      <c r="N85" s="53"/>
      <c r="O85" s="53">
        <f>E85+H85</f>
        <v>9496.4</v>
      </c>
    </row>
    <row r="86" spans="1:15" ht="29.25" x14ac:dyDescent="0.25">
      <c r="A86" s="46" t="s">
        <v>153</v>
      </c>
      <c r="B86" s="50"/>
      <c r="C86" s="50"/>
      <c r="D86" s="47" t="s">
        <v>21</v>
      </c>
      <c r="E86" s="49">
        <f>E87</f>
        <v>1205.5</v>
      </c>
      <c r="F86" s="49">
        <f>F87</f>
        <v>980</v>
      </c>
      <c r="G86" s="53"/>
      <c r="H86" s="49">
        <f>H87</f>
        <v>20</v>
      </c>
      <c r="I86" s="49">
        <f t="shared" ref="I86:N86" si="14">I87</f>
        <v>0</v>
      </c>
      <c r="J86" s="49">
        <f t="shared" si="14"/>
        <v>0</v>
      </c>
      <c r="K86" s="49">
        <f t="shared" si="14"/>
        <v>0</v>
      </c>
      <c r="L86" s="49">
        <f t="shared" si="14"/>
        <v>20</v>
      </c>
      <c r="M86" s="49">
        <f t="shared" si="14"/>
        <v>20</v>
      </c>
      <c r="N86" s="49">
        <f t="shared" si="14"/>
        <v>20</v>
      </c>
      <c r="O86" s="49">
        <f>O87</f>
        <v>1225.5</v>
      </c>
    </row>
    <row r="87" spans="1:15" ht="29.25" x14ac:dyDescent="0.25">
      <c r="A87" s="46" t="s">
        <v>154</v>
      </c>
      <c r="B87" s="50"/>
      <c r="C87" s="50"/>
      <c r="D87" s="47" t="s">
        <v>21</v>
      </c>
      <c r="E87" s="49">
        <f>E88+E89+E90</f>
        <v>1205.5</v>
      </c>
      <c r="F87" s="49">
        <f>F88+F89+F90</f>
        <v>980</v>
      </c>
      <c r="G87" s="49"/>
      <c r="H87" s="49">
        <f>I87+L87</f>
        <v>20</v>
      </c>
      <c r="I87" s="49">
        <f t="shared" ref="I87:N87" si="15">I88+I89+I90</f>
        <v>0</v>
      </c>
      <c r="J87" s="49">
        <f t="shared" si="15"/>
        <v>0</v>
      </c>
      <c r="K87" s="49">
        <f t="shared" si="15"/>
        <v>0</v>
      </c>
      <c r="L87" s="49">
        <f t="shared" si="15"/>
        <v>20</v>
      </c>
      <c r="M87" s="49">
        <f t="shared" si="15"/>
        <v>20</v>
      </c>
      <c r="N87" s="49">
        <f t="shared" si="15"/>
        <v>20</v>
      </c>
      <c r="O87" s="49">
        <f t="shared" ref="O87:O109" si="16">E87+H87</f>
        <v>1225.5</v>
      </c>
    </row>
    <row r="88" spans="1:15" ht="45" x14ac:dyDescent="0.25">
      <c r="A88" s="50" t="s">
        <v>155</v>
      </c>
      <c r="B88" s="50" t="s">
        <v>124</v>
      </c>
      <c r="C88" s="50" t="s">
        <v>32</v>
      </c>
      <c r="D88" s="54" t="s">
        <v>126</v>
      </c>
      <c r="E88" s="53">
        <v>1001.9</v>
      </c>
      <c r="F88" s="53">
        <f>803+177</f>
        <v>980</v>
      </c>
      <c r="G88" s="53"/>
      <c r="H88" s="53">
        <f>I88+L88</f>
        <v>20</v>
      </c>
      <c r="I88" s="53"/>
      <c r="J88" s="53"/>
      <c r="K88" s="53"/>
      <c r="L88" s="53">
        <v>20</v>
      </c>
      <c r="M88" s="53">
        <v>20</v>
      </c>
      <c r="N88" s="53">
        <v>20</v>
      </c>
      <c r="O88" s="53">
        <f t="shared" si="16"/>
        <v>1021.9</v>
      </c>
    </row>
    <row r="89" spans="1:15" s="15" customFormat="1" ht="30" x14ac:dyDescent="0.25">
      <c r="A89" s="50" t="s">
        <v>156</v>
      </c>
      <c r="B89" s="50" t="s">
        <v>93</v>
      </c>
      <c r="C89" s="50" t="s">
        <v>54</v>
      </c>
      <c r="D89" s="58" t="s">
        <v>103</v>
      </c>
      <c r="E89" s="53">
        <v>33.6</v>
      </c>
      <c r="F89" s="53"/>
      <c r="G89" s="53"/>
      <c r="H89" s="53"/>
      <c r="I89" s="53"/>
      <c r="J89" s="53"/>
      <c r="K89" s="53"/>
      <c r="L89" s="53"/>
      <c r="M89" s="53"/>
      <c r="N89" s="53"/>
      <c r="O89" s="53">
        <f t="shared" si="16"/>
        <v>33.6</v>
      </c>
    </row>
    <row r="90" spans="1:15" ht="75" x14ac:dyDescent="0.25">
      <c r="A90" s="50" t="s">
        <v>157</v>
      </c>
      <c r="B90" s="50" t="s">
        <v>61</v>
      </c>
      <c r="C90" s="50" t="s">
        <v>54</v>
      </c>
      <c r="D90" s="59" t="s">
        <v>55</v>
      </c>
      <c r="E90" s="53">
        <v>170</v>
      </c>
      <c r="F90" s="53"/>
      <c r="G90" s="53"/>
      <c r="H90" s="53"/>
      <c r="I90" s="53"/>
      <c r="J90" s="53"/>
      <c r="K90" s="53"/>
      <c r="L90" s="53"/>
      <c r="M90" s="53"/>
      <c r="N90" s="53"/>
      <c r="O90" s="53">
        <f t="shared" si="16"/>
        <v>170</v>
      </c>
    </row>
    <row r="91" spans="1:15" s="13" customFormat="1" ht="29.25" x14ac:dyDescent="0.25">
      <c r="A91" s="46" t="s">
        <v>158</v>
      </c>
      <c r="B91" s="46"/>
      <c r="C91" s="46"/>
      <c r="D91" s="47" t="s">
        <v>15</v>
      </c>
      <c r="E91" s="49">
        <f>E92</f>
        <v>26117.5</v>
      </c>
      <c r="F91" s="49">
        <f t="shared" ref="F91:O91" si="17">F92</f>
        <v>21873.899999999998</v>
      </c>
      <c r="G91" s="49">
        <f t="shared" si="17"/>
        <v>1699.2</v>
      </c>
      <c r="H91" s="49">
        <f>H92</f>
        <v>3388</v>
      </c>
      <c r="I91" s="49">
        <f t="shared" si="17"/>
        <v>855</v>
      </c>
      <c r="J91" s="49">
        <f t="shared" si="17"/>
        <v>233.8</v>
      </c>
      <c r="K91" s="49">
        <f t="shared" si="17"/>
        <v>0</v>
      </c>
      <c r="L91" s="49">
        <f t="shared" si="17"/>
        <v>2533</v>
      </c>
      <c r="M91" s="49">
        <f t="shared" si="17"/>
        <v>2533</v>
      </c>
      <c r="N91" s="49">
        <f t="shared" si="17"/>
        <v>2533</v>
      </c>
      <c r="O91" s="49">
        <f t="shared" si="17"/>
        <v>29505.5</v>
      </c>
    </row>
    <row r="92" spans="1:15" ht="29.25" x14ac:dyDescent="0.25">
      <c r="A92" s="50" t="s">
        <v>159</v>
      </c>
      <c r="B92" s="50"/>
      <c r="C92" s="50"/>
      <c r="D92" s="47" t="s">
        <v>15</v>
      </c>
      <c r="E92" s="49">
        <f>E93+E95+E96+E97+E94+E98+E99</f>
        <v>26117.5</v>
      </c>
      <c r="F92" s="49">
        <f t="shared" ref="F92:N92" si="18">F93+F95+F96+F97+F94+F98+F99</f>
        <v>21873.899999999998</v>
      </c>
      <c r="G92" s="49">
        <f t="shared" si="18"/>
        <v>1699.2</v>
      </c>
      <c r="H92" s="49">
        <f>I92+L92</f>
        <v>3388</v>
      </c>
      <c r="I92" s="49">
        <f t="shared" si="18"/>
        <v>855</v>
      </c>
      <c r="J92" s="49">
        <f t="shared" si="18"/>
        <v>233.8</v>
      </c>
      <c r="K92" s="49">
        <f t="shared" si="18"/>
        <v>0</v>
      </c>
      <c r="L92" s="49">
        <f t="shared" si="18"/>
        <v>2533</v>
      </c>
      <c r="M92" s="49">
        <f t="shared" si="18"/>
        <v>2533</v>
      </c>
      <c r="N92" s="49">
        <f t="shared" si="18"/>
        <v>2533</v>
      </c>
      <c r="O92" s="49">
        <f t="shared" si="16"/>
        <v>29505.5</v>
      </c>
    </row>
    <row r="93" spans="1:15" ht="45" x14ac:dyDescent="0.25">
      <c r="A93" s="50" t="s">
        <v>160</v>
      </c>
      <c r="B93" s="50" t="s">
        <v>124</v>
      </c>
      <c r="C93" s="50" t="s">
        <v>32</v>
      </c>
      <c r="D93" s="54" t="s">
        <v>126</v>
      </c>
      <c r="E93" s="53">
        <v>468</v>
      </c>
      <c r="F93" s="53">
        <f>377+83</f>
        <v>460</v>
      </c>
      <c r="G93" s="53"/>
      <c r="H93" s="49"/>
      <c r="I93" s="53"/>
      <c r="J93" s="53"/>
      <c r="K93" s="53"/>
      <c r="L93" s="53"/>
      <c r="M93" s="53"/>
      <c r="N93" s="53"/>
      <c r="O93" s="53">
        <f t="shared" si="16"/>
        <v>468</v>
      </c>
    </row>
    <row r="94" spans="1:15" ht="60" x14ac:dyDescent="0.25">
      <c r="A94" s="50" t="s">
        <v>170</v>
      </c>
      <c r="B94" s="50" t="s">
        <v>169</v>
      </c>
      <c r="C94" s="50" t="s">
        <v>50</v>
      </c>
      <c r="D94" s="54" t="s">
        <v>171</v>
      </c>
      <c r="E94" s="53">
        <v>11629</v>
      </c>
      <c r="F94" s="53">
        <f>9288.6+2043.5</f>
        <v>11332.1</v>
      </c>
      <c r="G94" s="53">
        <v>282.5</v>
      </c>
      <c r="H94" s="53">
        <f>I94+L94</f>
        <v>629</v>
      </c>
      <c r="I94" s="53">
        <v>629</v>
      </c>
      <c r="J94" s="53">
        <f>159.8+35</f>
        <v>194.8</v>
      </c>
      <c r="K94" s="53"/>
      <c r="L94" s="53"/>
      <c r="M94" s="53"/>
      <c r="N94" s="53"/>
      <c r="O94" s="53">
        <f t="shared" si="16"/>
        <v>12258</v>
      </c>
    </row>
    <row r="95" spans="1:15" x14ac:dyDescent="0.25">
      <c r="A95" s="50" t="s">
        <v>162</v>
      </c>
      <c r="B95" s="50" t="s">
        <v>161</v>
      </c>
      <c r="C95" s="50" t="s">
        <v>95</v>
      </c>
      <c r="D95" s="58" t="s">
        <v>163</v>
      </c>
      <c r="E95" s="57">
        <v>4974.3</v>
      </c>
      <c r="F95" s="57">
        <f>3074.3+676.3</f>
        <v>3750.6000000000004</v>
      </c>
      <c r="G95" s="57">
        <v>558.29999999999995</v>
      </c>
      <c r="H95" s="53">
        <f>I95+L95</f>
        <v>154.5</v>
      </c>
      <c r="I95" s="57">
        <v>54.5</v>
      </c>
      <c r="J95" s="57"/>
      <c r="K95" s="57"/>
      <c r="L95" s="57">
        <f>85+15</f>
        <v>100</v>
      </c>
      <c r="M95" s="57">
        <v>100</v>
      </c>
      <c r="N95" s="57">
        <v>100</v>
      </c>
      <c r="O95" s="57">
        <f t="shared" si="16"/>
        <v>5128.8</v>
      </c>
    </row>
    <row r="96" spans="1:15" x14ac:dyDescent="0.25">
      <c r="A96" s="50" t="s">
        <v>165</v>
      </c>
      <c r="B96" s="50" t="s">
        <v>164</v>
      </c>
      <c r="C96" s="50" t="s">
        <v>95</v>
      </c>
      <c r="D96" s="58" t="s">
        <v>166</v>
      </c>
      <c r="E96" s="57">
        <v>1542.4</v>
      </c>
      <c r="F96" s="57">
        <f>978+215.2</f>
        <v>1193.2</v>
      </c>
      <c r="G96" s="57">
        <v>232.2</v>
      </c>
      <c r="H96" s="53">
        <f>I96+L96</f>
        <v>31.5</v>
      </c>
      <c r="I96" s="57">
        <v>31.5</v>
      </c>
      <c r="J96" s="57"/>
      <c r="K96" s="57"/>
      <c r="L96" s="57"/>
      <c r="M96" s="57"/>
      <c r="N96" s="57"/>
      <c r="O96" s="57">
        <f t="shared" si="16"/>
        <v>1573.9</v>
      </c>
    </row>
    <row r="97" spans="1:15" ht="45" x14ac:dyDescent="0.25">
      <c r="A97" s="50" t="s">
        <v>167</v>
      </c>
      <c r="B97" s="50" t="s">
        <v>94</v>
      </c>
      <c r="C97" s="50" t="s">
        <v>96</v>
      </c>
      <c r="D97" s="58" t="s">
        <v>168</v>
      </c>
      <c r="E97" s="57">
        <v>5500.7</v>
      </c>
      <c r="F97" s="57">
        <f>3548.9+780.8</f>
        <v>4329.7</v>
      </c>
      <c r="G97" s="57">
        <v>600</v>
      </c>
      <c r="H97" s="53">
        <f>I97+L97</f>
        <v>2543</v>
      </c>
      <c r="I97" s="57">
        <f>105+12.6+16+6.4</f>
        <v>140</v>
      </c>
      <c r="J97" s="57">
        <f>32+7</f>
        <v>39</v>
      </c>
      <c r="K97" s="57"/>
      <c r="L97" s="57">
        <f>1000+15+40+10+10+120+8+1000+200</f>
        <v>2403</v>
      </c>
      <c r="M97" s="57">
        <v>2403</v>
      </c>
      <c r="N97" s="57">
        <v>2403</v>
      </c>
      <c r="O97" s="57">
        <f t="shared" si="16"/>
        <v>8043.7</v>
      </c>
    </row>
    <row r="98" spans="1:15" ht="30" x14ac:dyDescent="0.25">
      <c r="A98" s="50" t="s">
        <v>323</v>
      </c>
      <c r="B98" s="50" t="s">
        <v>288</v>
      </c>
      <c r="C98" s="50" t="s">
        <v>97</v>
      </c>
      <c r="D98" s="58" t="s">
        <v>289</v>
      </c>
      <c r="E98" s="57">
        <v>882.1</v>
      </c>
      <c r="F98" s="57">
        <v>808.3</v>
      </c>
      <c r="G98" s="57">
        <v>26.2</v>
      </c>
      <c r="H98" s="53">
        <f>I98+L98</f>
        <v>30</v>
      </c>
      <c r="I98" s="57"/>
      <c r="J98" s="57"/>
      <c r="K98" s="57"/>
      <c r="L98" s="57">
        <v>30</v>
      </c>
      <c r="M98" s="57">
        <v>30</v>
      </c>
      <c r="N98" s="57">
        <v>30</v>
      </c>
      <c r="O98" s="57">
        <f t="shared" si="16"/>
        <v>912.1</v>
      </c>
    </row>
    <row r="99" spans="1:15" x14ac:dyDescent="0.25">
      <c r="A99" s="50" t="s">
        <v>286</v>
      </c>
      <c r="B99" s="50" t="s">
        <v>287</v>
      </c>
      <c r="C99" s="50" t="s">
        <v>97</v>
      </c>
      <c r="D99" s="58" t="s">
        <v>290</v>
      </c>
      <c r="E99" s="57">
        <v>1121</v>
      </c>
      <c r="F99" s="57"/>
      <c r="G99" s="57"/>
      <c r="H99" s="53"/>
      <c r="I99" s="57"/>
      <c r="J99" s="57"/>
      <c r="K99" s="57"/>
      <c r="L99" s="57"/>
      <c r="M99" s="57"/>
      <c r="N99" s="57"/>
      <c r="O99" s="57">
        <f t="shared" si="16"/>
        <v>1121</v>
      </c>
    </row>
    <row r="100" spans="1:15" ht="43.5" x14ac:dyDescent="0.25">
      <c r="A100" s="46" t="s">
        <v>59</v>
      </c>
      <c r="B100" s="46"/>
      <c r="C100" s="46"/>
      <c r="D100" s="47" t="s">
        <v>18</v>
      </c>
      <c r="E100" s="60">
        <f>E101</f>
        <v>3170.2000000000003</v>
      </c>
      <c r="F100" s="60">
        <f>F101</f>
        <v>1026</v>
      </c>
      <c r="G100" s="60">
        <f>G101</f>
        <v>0</v>
      </c>
      <c r="H100" s="60">
        <f>H101</f>
        <v>10</v>
      </c>
      <c r="I100" s="60">
        <f t="shared" ref="I100:N100" si="19">I101</f>
        <v>0</v>
      </c>
      <c r="J100" s="60">
        <f t="shared" si="19"/>
        <v>0</v>
      </c>
      <c r="K100" s="60">
        <f t="shared" si="19"/>
        <v>0</v>
      </c>
      <c r="L100" s="60">
        <f t="shared" si="19"/>
        <v>10</v>
      </c>
      <c r="M100" s="60">
        <f t="shared" si="19"/>
        <v>10</v>
      </c>
      <c r="N100" s="60">
        <f t="shared" si="19"/>
        <v>10</v>
      </c>
      <c r="O100" s="49">
        <f t="shared" si="16"/>
        <v>3180.2000000000003</v>
      </c>
    </row>
    <row r="101" spans="1:15" ht="43.5" x14ac:dyDescent="0.25">
      <c r="A101" s="46" t="s">
        <v>60</v>
      </c>
      <c r="B101" s="46"/>
      <c r="C101" s="46"/>
      <c r="D101" s="47" t="s">
        <v>18</v>
      </c>
      <c r="E101" s="49">
        <f>E102+E104+E105+E106+E107+E108+E103</f>
        <v>3170.2000000000003</v>
      </c>
      <c r="F101" s="49">
        <f t="shared" ref="F101:N101" si="20">F102+F104+F105+F106+F107+F108+F103</f>
        <v>1026</v>
      </c>
      <c r="G101" s="49">
        <f t="shared" si="20"/>
        <v>0</v>
      </c>
      <c r="H101" s="49">
        <f>I101+L101</f>
        <v>10</v>
      </c>
      <c r="I101" s="49">
        <f t="shared" si="20"/>
        <v>0</v>
      </c>
      <c r="J101" s="49">
        <f t="shared" si="20"/>
        <v>0</v>
      </c>
      <c r="K101" s="49">
        <f t="shared" si="20"/>
        <v>0</v>
      </c>
      <c r="L101" s="49">
        <f t="shared" si="20"/>
        <v>10</v>
      </c>
      <c r="M101" s="49">
        <f t="shared" si="20"/>
        <v>10</v>
      </c>
      <c r="N101" s="49">
        <f t="shared" si="20"/>
        <v>10</v>
      </c>
      <c r="O101" s="49">
        <f t="shared" si="16"/>
        <v>3180.2000000000003</v>
      </c>
    </row>
    <row r="102" spans="1:15" ht="47.25" x14ac:dyDescent="0.25">
      <c r="A102" s="50" t="s">
        <v>172</v>
      </c>
      <c r="B102" s="50" t="s">
        <v>124</v>
      </c>
      <c r="C102" s="50" t="s">
        <v>32</v>
      </c>
      <c r="D102" s="18" t="s">
        <v>126</v>
      </c>
      <c r="E102" s="53">
        <v>1060.3</v>
      </c>
      <c r="F102" s="53">
        <f>841+185</f>
        <v>1026</v>
      </c>
      <c r="G102" s="53"/>
      <c r="H102" s="57">
        <f>I102+L102</f>
        <v>10</v>
      </c>
      <c r="I102" s="49"/>
      <c r="J102" s="49"/>
      <c r="K102" s="49"/>
      <c r="L102" s="53">
        <v>10</v>
      </c>
      <c r="M102" s="53">
        <v>10</v>
      </c>
      <c r="N102" s="53">
        <v>10</v>
      </c>
      <c r="O102" s="49">
        <f t="shared" si="16"/>
        <v>1070.3</v>
      </c>
    </row>
    <row r="103" spans="1:15" ht="15.75" x14ac:dyDescent="0.25">
      <c r="A103" s="50" t="s">
        <v>174</v>
      </c>
      <c r="B103" s="50" t="s">
        <v>173</v>
      </c>
      <c r="C103" s="50" t="s">
        <v>54</v>
      </c>
      <c r="D103" s="12" t="s">
        <v>63</v>
      </c>
      <c r="E103" s="53">
        <v>271.10000000000002</v>
      </c>
      <c r="F103" s="53"/>
      <c r="G103" s="53"/>
      <c r="H103" s="57"/>
      <c r="I103" s="49"/>
      <c r="J103" s="49"/>
      <c r="K103" s="49"/>
      <c r="L103" s="53"/>
      <c r="M103" s="53"/>
      <c r="N103" s="53"/>
      <c r="O103" s="49"/>
    </row>
    <row r="104" spans="1:15" ht="15.75" x14ac:dyDescent="0.25">
      <c r="A104" s="50" t="s">
        <v>176</v>
      </c>
      <c r="B104" s="50" t="s">
        <v>175</v>
      </c>
      <c r="C104" s="50" t="s">
        <v>54</v>
      </c>
      <c r="D104" s="12" t="s">
        <v>111</v>
      </c>
      <c r="E104" s="53">
        <v>591.5</v>
      </c>
      <c r="F104" s="53"/>
      <c r="G104" s="53"/>
      <c r="H104" s="53"/>
      <c r="I104" s="53"/>
      <c r="J104" s="53"/>
      <c r="K104" s="53"/>
      <c r="L104" s="53"/>
      <c r="M104" s="53"/>
      <c r="N104" s="53"/>
      <c r="O104" s="49">
        <f t="shared" si="16"/>
        <v>591.5</v>
      </c>
    </row>
    <row r="105" spans="1:15" ht="78.75" x14ac:dyDescent="0.25">
      <c r="A105" s="50" t="s">
        <v>62</v>
      </c>
      <c r="B105" s="50" t="s">
        <v>61</v>
      </c>
      <c r="C105" s="50" t="s">
        <v>54</v>
      </c>
      <c r="D105" s="11" t="s">
        <v>55</v>
      </c>
      <c r="E105" s="53">
        <v>217.5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49">
        <f t="shared" si="16"/>
        <v>217.5</v>
      </c>
    </row>
    <row r="106" spans="1:15" ht="31.5" x14ac:dyDescent="0.25">
      <c r="A106" s="50" t="s">
        <v>65</v>
      </c>
      <c r="B106" s="50" t="s">
        <v>64</v>
      </c>
      <c r="C106" s="50" t="s">
        <v>56</v>
      </c>
      <c r="D106" s="12" t="s">
        <v>102</v>
      </c>
      <c r="E106" s="53">
        <v>300</v>
      </c>
      <c r="F106" s="53"/>
      <c r="G106" s="53"/>
      <c r="H106" s="53"/>
      <c r="I106" s="53"/>
      <c r="J106" s="53"/>
      <c r="K106" s="53"/>
      <c r="L106" s="53"/>
      <c r="M106" s="53"/>
      <c r="N106" s="53"/>
      <c r="O106" s="49">
        <f t="shared" si="16"/>
        <v>300</v>
      </c>
    </row>
    <row r="107" spans="1:15" ht="31.5" x14ac:dyDescent="0.25">
      <c r="A107" s="50" t="s">
        <v>104</v>
      </c>
      <c r="B107" s="50" t="s">
        <v>105</v>
      </c>
      <c r="C107" s="50" t="s">
        <v>56</v>
      </c>
      <c r="D107" s="12" t="s">
        <v>106</v>
      </c>
      <c r="E107" s="53">
        <v>200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49">
        <f t="shared" si="16"/>
        <v>200</v>
      </c>
    </row>
    <row r="108" spans="1:15" s="16" customFormat="1" ht="63" x14ac:dyDescent="0.25">
      <c r="A108" s="19" t="s">
        <v>112</v>
      </c>
      <c r="B108" s="19" t="s">
        <v>113</v>
      </c>
      <c r="C108" s="19" t="s">
        <v>56</v>
      </c>
      <c r="D108" s="18" t="s">
        <v>114</v>
      </c>
      <c r="E108" s="20">
        <v>529.79999999999995</v>
      </c>
      <c r="F108" s="20"/>
      <c r="G108" s="20"/>
      <c r="H108" s="20"/>
      <c r="I108" s="20"/>
      <c r="J108" s="20"/>
      <c r="K108" s="20"/>
      <c r="L108" s="20"/>
      <c r="M108" s="20"/>
      <c r="N108" s="20"/>
      <c r="O108" s="21">
        <f t="shared" si="16"/>
        <v>529.79999999999995</v>
      </c>
    </row>
    <row r="109" spans="1:15" s="13" customFormat="1" ht="43.5" x14ac:dyDescent="0.25">
      <c r="A109" s="46" t="s">
        <v>177</v>
      </c>
      <c r="B109" s="46"/>
      <c r="C109" s="46"/>
      <c r="D109" s="47" t="s">
        <v>22</v>
      </c>
      <c r="E109" s="60">
        <f>E110</f>
        <v>57405.000000000007</v>
      </c>
      <c r="F109" s="60">
        <f t="shared" ref="F109:N109" si="21">F110</f>
        <v>1382</v>
      </c>
      <c r="G109" s="60">
        <f t="shared" si="21"/>
        <v>0</v>
      </c>
      <c r="H109" s="60">
        <f t="shared" si="21"/>
        <v>51119.3</v>
      </c>
      <c r="I109" s="60">
        <f t="shared" si="21"/>
        <v>99.3</v>
      </c>
      <c r="J109" s="60">
        <f t="shared" si="21"/>
        <v>0</v>
      </c>
      <c r="K109" s="60">
        <f t="shared" si="21"/>
        <v>0</v>
      </c>
      <c r="L109" s="60">
        <f t="shared" si="21"/>
        <v>51020</v>
      </c>
      <c r="M109" s="60">
        <f t="shared" si="21"/>
        <v>51020</v>
      </c>
      <c r="N109" s="60">
        <f t="shared" si="21"/>
        <v>45020</v>
      </c>
      <c r="O109" s="60">
        <f t="shared" si="16"/>
        <v>108524.30000000002</v>
      </c>
    </row>
    <row r="110" spans="1:15" ht="43.5" x14ac:dyDescent="0.25">
      <c r="A110" s="46" t="s">
        <v>178</v>
      </c>
      <c r="B110" s="50"/>
      <c r="C110" s="50"/>
      <c r="D110" s="47" t="s">
        <v>22</v>
      </c>
      <c r="E110" s="49">
        <f>E111+E112+E113+E114+E115+E116+E117+E118+E119+E120+E121</f>
        <v>57405.000000000007</v>
      </c>
      <c r="F110" s="49">
        <f>F111+F112+F113+F114+F115+F116+F117+F118+F119+F120+F121</f>
        <v>1382</v>
      </c>
      <c r="G110" s="49">
        <f>G111+G112+G113+G114+G115+G116+G117+G118+G119+G120+G121</f>
        <v>0</v>
      </c>
      <c r="H110" s="49">
        <f>I110+L110</f>
        <v>51119.3</v>
      </c>
      <c r="I110" s="49">
        <f>I111+I112+I113+I114+I115+I116+I117+I118+I119+I120+I121+I122</f>
        <v>99.3</v>
      </c>
      <c r="J110" s="49">
        <f>J111+J112+J113+J114+J115+J116+J117+J118+J119+J120+J121</f>
        <v>0</v>
      </c>
      <c r="K110" s="49">
        <f>K111+K112+K113+K114+K115+K116+K117+K118+K119+K120+K121</f>
        <v>0</v>
      </c>
      <c r="L110" s="49">
        <f>L111+L112+L113+L114+L115+L116+L117+L118+L119+L120+L121</f>
        <v>51020</v>
      </c>
      <c r="M110" s="49">
        <f>M111+M112+M113+M114+M115+M116+M117+M118+M119+M120+M121</f>
        <v>51020</v>
      </c>
      <c r="N110" s="49">
        <f>N111+N112+N113+N114+N115+N116+N117+N118+N119+N120+N121</f>
        <v>45020</v>
      </c>
      <c r="O110" s="60">
        <f>E110+H110</f>
        <v>108524.30000000002</v>
      </c>
    </row>
    <row r="111" spans="1:15" ht="47.25" x14ac:dyDescent="0.25">
      <c r="A111" s="50" t="s">
        <v>179</v>
      </c>
      <c r="B111" s="50" t="s">
        <v>124</v>
      </c>
      <c r="C111" s="50" t="s">
        <v>32</v>
      </c>
      <c r="D111" s="18" t="s">
        <v>126</v>
      </c>
      <c r="E111" s="53">
        <v>1513.9</v>
      </c>
      <c r="F111" s="53">
        <f>1133+249</f>
        <v>1382</v>
      </c>
      <c r="G111" s="53"/>
      <c r="H111" s="53">
        <f t="shared" ref="H111:H122" si="22">I111+L111</f>
        <v>10</v>
      </c>
      <c r="I111" s="53"/>
      <c r="J111" s="53"/>
      <c r="K111" s="53"/>
      <c r="L111" s="53">
        <v>10</v>
      </c>
      <c r="M111" s="53">
        <v>10</v>
      </c>
      <c r="N111" s="53">
        <v>10</v>
      </c>
      <c r="O111" s="53">
        <f>E111+H111</f>
        <v>1523.9</v>
      </c>
    </row>
    <row r="112" spans="1:15" ht="15.75" x14ac:dyDescent="0.25">
      <c r="A112" s="50" t="s">
        <v>301</v>
      </c>
      <c r="B112" s="50" t="s">
        <v>300</v>
      </c>
      <c r="C112" s="50" t="s">
        <v>252</v>
      </c>
      <c r="D112" s="18" t="s">
        <v>253</v>
      </c>
      <c r="E112" s="53">
        <v>50</v>
      </c>
      <c r="F112" s="53"/>
      <c r="G112" s="53"/>
      <c r="H112" s="49"/>
      <c r="I112" s="53"/>
      <c r="J112" s="53"/>
      <c r="K112" s="53"/>
      <c r="L112" s="53"/>
      <c r="M112" s="53"/>
      <c r="N112" s="53"/>
      <c r="O112" s="53">
        <f>E112+H112</f>
        <v>50</v>
      </c>
    </row>
    <row r="113" spans="1:15" ht="31.5" x14ac:dyDescent="0.25">
      <c r="A113" s="50" t="s">
        <v>201</v>
      </c>
      <c r="B113" s="50" t="s">
        <v>200</v>
      </c>
      <c r="C113" s="50" t="s">
        <v>40</v>
      </c>
      <c r="D113" s="12" t="s">
        <v>202</v>
      </c>
      <c r="E113" s="57">
        <v>200</v>
      </c>
      <c r="F113" s="53"/>
      <c r="G113" s="53"/>
      <c r="H113" s="53">
        <f t="shared" si="22"/>
        <v>11000</v>
      </c>
      <c r="I113" s="53"/>
      <c r="J113" s="53"/>
      <c r="K113" s="53"/>
      <c r="L113" s="53">
        <f>2000+9000</f>
        <v>11000</v>
      </c>
      <c r="M113" s="53">
        <f>2000+9000</f>
        <v>11000</v>
      </c>
      <c r="N113" s="53">
        <f>1000+9000</f>
        <v>10000</v>
      </c>
      <c r="O113" s="53">
        <f>E113+H113</f>
        <v>11200</v>
      </c>
    </row>
    <row r="114" spans="1:15" ht="31.5" x14ac:dyDescent="0.25">
      <c r="A114" s="50" t="s">
        <v>261</v>
      </c>
      <c r="B114" s="50" t="s">
        <v>260</v>
      </c>
      <c r="C114" s="50" t="s">
        <v>40</v>
      </c>
      <c r="D114" s="12" t="s">
        <v>262</v>
      </c>
      <c r="E114" s="57"/>
      <c r="F114" s="53"/>
      <c r="G114" s="53"/>
      <c r="H114" s="53">
        <f t="shared" si="22"/>
        <v>4000</v>
      </c>
      <c r="I114" s="53"/>
      <c r="J114" s="53"/>
      <c r="K114" s="53"/>
      <c r="L114" s="53">
        <v>4000</v>
      </c>
      <c r="M114" s="53">
        <v>4000</v>
      </c>
      <c r="N114" s="53">
        <v>4000</v>
      </c>
      <c r="O114" s="53">
        <f t="shared" ref="O114:O122" si="23">E114+H114</f>
        <v>4000</v>
      </c>
    </row>
    <row r="115" spans="1:15" ht="31.5" x14ac:dyDescent="0.25">
      <c r="A115" s="50" t="s">
        <v>204</v>
      </c>
      <c r="B115" s="50" t="s">
        <v>203</v>
      </c>
      <c r="C115" s="50" t="s">
        <v>40</v>
      </c>
      <c r="D115" s="12" t="s">
        <v>205</v>
      </c>
      <c r="E115" s="57">
        <v>531.4</v>
      </c>
      <c r="F115" s="53"/>
      <c r="G115" s="53"/>
      <c r="H115" s="53">
        <f t="shared" si="22"/>
        <v>4000</v>
      </c>
      <c r="I115" s="53"/>
      <c r="J115" s="53"/>
      <c r="K115" s="53"/>
      <c r="L115" s="53">
        <v>4000</v>
      </c>
      <c r="M115" s="53">
        <v>4000</v>
      </c>
      <c r="N115" s="53"/>
      <c r="O115" s="53">
        <f t="shared" si="23"/>
        <v>4531.3999999999996</v>
      </c>
    </row>
    <row r="116" spans="1:15" ht="31.5" x14ac:dyDescent="0.25">
      <c r="A116" s="50" t="s">
        <v>255</v>
      </c>
      <c r="B116" s="50" t="s">
        <v>254</v>
      </c>
      <c r="C116" s="50" t="s">
        <v>40</v>
      </c>
      <c r="D116" s="12" t="s">
        <v>256</v>
      </c>
      <c r="E116" s="57">
        <v>500</v>
      </c>
      <c r="F116" s="53"/>
      <c r="G116" s="53"/>
      <c r="H116" s="53">
        <f t="shared" si="22"/>
        <v>5000</v>
      </c>
      <c r="I116" s="53"/>
      <c r="J116" s="53"/>
      <c r="K116" s="53"/>
      <c r="L116" s="53">
        <v>5000</v>
      </c>
      <c r="M116" s="53">
        <v>5000</v>
      </c>
      <c r="N116" s="53">
        <v>5000</v>
      </c>
      <c r="O116" s="53">
        <f t="shared" si="23"/>
        <v>5500</v>
      </c>
    </row>
    <row r="117" spans="1:15" s="16" customFormat="1" ht="15.75" x14ac:dyDescent="0.25">
      <c r="A117" s="19" t="s">
        <v>180</v>
      </c>
      <c r="B117" s="19" t="s">
        <v>99</v>
      </c>
      <c r="C117" s="19" t="s">
        <v>40</v>
      </c>
      <c r="D117" s="18" t="s">
        <v>121</v>
      </c>
      <c r="E117" s="20">
        <f>4529.7+2707.3+2385+340.8+1776+420+60+30+200+200+200+200+200+200+200+5129.6+1724.9+212+200+180+200+100+4938.9+5716.5+50+9+860+200+1000+300+6000-661.2+311.2</f>
        <v>40119.700000000004</v>
      </c>
      <c r="F117" s="20"/>
      <c r="G117" s="20"/>
      <c r="H117" s="20">
        <f t="shared" si="22"/>
        <v>6010</v>
      </c>
      <c r="I117" s="20"/>
      <c r="J117" s="20"/>
      <c r="K117" s="20"/>
      <c r="L117" s="20">
        <f>3610+1900+1000-500</f>
        <v>6010</v>
      </c>
      <c r="M117" s="20">
        <f>3610+1900+1000-500</f>
        <v>6010</v>
      </c>
      <c r="N117" s="20">
        <f>3610+1900+1000-500</f>
        <v>6010</v>
      </c>
      <c r="O117" s="20">
        <f t="shared" si="23"/>
        <v>46129.700000000004</v>
      </c>
    </row>
    <row r="118" spans="1:15" s="16" customFormat="1" ht="31.5" x14ac:dyDescent="0.25">
      <c r="A118" s="19" t="s">
        <v>264</v>
      </c>
      <c r="B118" s="19" t="s">
        <v>263</v>
      </c>
      <c r="C118" s="19" t="s">
        <v>265</v>
      </c>
      <c r="D118" s="12" t="s">
        <v>266</v>
      </c>
      <c r="E118" s="20">
        <v>490</v>
      </c>
      <c r="F118" s="20"/>
      <c r="G118" s="20"/>
      <c r="H118" s="20">
        <f t="shared" si="22"/>
        <v>0</v>
      </c>
      <c r="I118" s="20"/>
      <c r="J118" s="20"/>
      <c r="K118" s="20"/>
      <c r="L118" s="20"/>
      <c r="M118" s="20"/>
      <c r="N118" s="20"/>
      <c r="O118" s="20">
        <f t="shared" si="23"/>
        <v>490</v>
      </c>
    </row>
    <row r="119" spans="1:15" s="16" customFormat="1" ht="31.5" x14ac:dyDescent="0.25">
      <c r="A119" s="19" t="s">
        <v>292</v>
      </c>
      <c r="B119" s="19" t="s">
        <v>291</v>
      </c>
      <c r="C119" s="19" t="s">
        <v>58</v>
      </c>
      <c r="D119" s="18" t="s">
        <v>258</v>
      </c>
      <c r="E119" s="20"/>
      <c r="F119" s="20"/>
      <c r="G119" s="20"/>
      <c r="H119" s="20">
        <f t="shared" si="22"/>
        <v>500</v>
      </c>
      <c r="I119" s="20"/>
      <c r="J119" s="20"/>
      <c r="K119" s="20"/>
      <c r="L119" s="20">
        <v>500</v>
      </c>
      <c r="M119" s="20">
        <v>500</v>
      </c>
      <c r="N119" s="20">
        <v>500</v>
      </c>
      <c r="O119" s="20">
        <f t="shared" si="23"/>
        <v>500</v>
      </c>
    </row>
    <row r="120" spans="1:15" s="16" customFormat="1" ht="47.25" x14ac:dyDescent="0.25">
      <c r="A120" s="19" t="s">
        <v>257</v>
      </c>
      <c r="B120" s="19" t="s">
        <v>198</v>
      </c>
      <c r="C120" s="19" t="s">
        <v>100</v>
      </c>
      <c r="D120" s="12" t="s">
        <v>199</v>
      </c>
      <c r="E120" s="20">
        <f>12000+2000</f>
        <v>14000</v>
      </c>
      <c r="F120" s="20"/>
      <c r="G120" s="20"/>
      <c r="H120" s="20">
        <f>I120+L120</f>
        <v>19500</v>
      </c>
      <c r="I120" s="20"/>
      <c r="J120" s="20"/>
      <c r="K120" s="20"/>
      <c r="L120" s="20">
        <f>17203+2297</f>
        <v>19500</v>
      </c>
      <c r="M120" s="20">
        <v>19500</v>
      </c>
      <c r="N120" s="20">
        <v>19500</v>
      </c>
      <c r="O120" s="20">
        <f>E120+H120</f>
        <v>33500</v>
      </c>
    </row>
    <row r="121" spans="1:15" s="16" customFormat="1" ht="15.75" x14ac:dyDescent="0.25">
      <c r="A121" s="19" t="s">
        <v>259</v>
      </c>
      <c r="B121" s="19" t="s">
        <v>196</v>
      </c>
      <c r="C121" s="19" t="s">
        <v>38</v>
      </c>
      <c r="D121" s="12" t="s">
        <v>39</v>
      </c>
      <c r="E121" s="20"/>
      <c r="F121" s="20"/>
      <c r="G121" s="20"/>
      <c r="H121" s="20">
        <f t="shared" si="22"/>
        <v>1000</v>
      </c>
      <c r="I121" s="20"/>
      <c r="J121" s="20"/>
      <c r="K121" s="20"/>
      <c r="L121" s="20">
        <v>1000</v>
      </c>
      <c r="M121" s="20">
        <v>1000</v>
      </c>
      <c r="N121" s="20"/>
      <c r="O121" s="20">
        <f t="shared" si="23"/>
        <v>1000</v>
      </c>
    </row>
    <row r="122" spans="1:15" s="16" customFormat="1" ht="31.5" x14ac:dyDescent="0.25">
      <c r="A122" s="19" t="s">
        <v>283</v>
      </c>
      <c r="B122" s="19" t="s">
        <v>274</v>
      </c>
      <c r="C122" s="19" t="s">
        <v>101</v>
      </c>
      <c r="D122" s="18" t="s">
        <v>295</v>
      </c>
      <c r="E122" s="20"/>
      <c r="F122" s="20"/>
      <c r="G122" s="20"/>
      <c r="H122" s="20">
        <f t="shared" si="22"/>
        <v>99.3</v>
      </c>
      <c r="I122" s="20">
        <v>99.3</v>
      </c>
      <c r="J122" s="20"/>
      <c r="K122" s="20"/>
      <c r="L122" s="20"/>
      <c r="M122" s="20"/>
      <c r="N122" s="20"/>
      <c r="O122" s="20">
        <f t="shared" si="23"/>
        <v>99.3</v>
      </c>
    </row>
    <row r="123" spans="1:15" s="13" customFormat="1" ht="43.5" x14ac:dyDescent="0.25">
      <c r="A123" s="46" t="s">
        <v>66</v>
      </c>
      <c r="B123" s="46"/>
      <c r="C123" s="46"/>
      <c r="D123" s="47" t="s">
        <v>27</v>
      </c>
      <c r="E123" s="49">
        <f>E124</f>
        <v>1592.8</v>
      </c>
      <c r="F123" s="49">
        <f t="shared" ref="F123:O123" si="24">F124</f>
        <v>1547</v>
      </c>
      <c r="G123" s="49">
        <f t="shared" si="24"/>
        <v>0</v>
      </c>
      <c r="H123" s="49">
        <f t="shared" si="24"/>
        <v>50300</v>
      </c>
      <c r="I123" s="49">
        <f t="shared" si="24"/>
        <v>0</v>
      </c>
      <c r="J123" s="49">
        <f t="shared" si="24"/>
        <v>0</v>
      </c>
      <c r="K123" s="49">
        <f t="shared" si="24"/>
        <v>0</v>
      </c>
      <c r="L123" s="49">
        <f t="shared" si="24"/>
        <v>50300</v>
      </c>
      <c r="M123" s="49">
        <f t="shared" si="24"/>
        <v>50300</v>
      </c>
      <c r="N123" s="49">
        <f t="shared" si="24"/>
        <v>50300</v>
      </c>
      <c r="O123" s="49">
        <f t="shared" si="24"/>
        <v>51892.800000000003</v>
      </c>
    </row>
    <row r="124" spans="1:15" ht="43.5" x14ac:dyDescent="0.25">
      <c r="A124" s="46" t="s">
        <v>67</v>
      </c>
      <c r="B124" s="50"/>
      <c r="C124" s="50"/>
      <c r="D124" s="47" t="s">
        <v>27</v>
      </c>
      <c r="E124" s="49">
        <f>E125+E126+E127+E128</f>
        <v>1592.8</v>
      </c>
      <c r="F124" s="49">
        <f t="shared" ref="F124:N124" si="25">F125+F126+F127+F128</f>
        <v>1547</v>
      </c>
      <c r="G124" s="49">
        <f t="shared" si="25"/>
        <v>0</v>
      </c>
      <c r="H124" s="49">
        <f>I124+L124</f>
        <v>50300</v>
      </c>
      <c r="I124" s="49">
        <f t="shared" si="25"/>
        <v>0</v>
      </c>
      <c r="J124" s="49">
        <f t="shared" si="25"/>
        <v>0</v>
      </c>
      <c r="K124" s="49">
        <f t="shared" si="25"/>
        <v>0</v>
      </c>
      <c r="L124" s="49">
        <f t="shared" si="25"/>
        <v>50300</v>
      </c>
      <c r="M124" s="49">
        <f t="shared" si="25"/>
        <v>50300</v>
      </c>
      <c r="N124" s="49">
        <f t="shared" si="25"/>
        <v>50300</v>
      </c>
      <c r="O124" s="49">
        <f t="shared" ref="O124:O144" si="26">E124+H124</f>
        <v>51892.800000000003</v>
      </c>
    </row>
    <row r="125" spans="1:15" ht="47.25" x14ac:dyDescent="0.25">
      <c r="A125" s="50" t="s">
        <v>184</v>
      </c>
      <c r="B125" s="50" t="s">
        <v>124</v>
      </c>
      <c r="C125" s="50" t="s">
        <v>32</v>
      </c>
      <c r="D125" s="18" t="s">
        <v>126</v>
      </c>
      <c r="E125" s="53">
        <v>1592.8</v>
      </c>
      <c r="F125" s="53">
        <f>1268+279</f>
        <v>1547</v>
      </c>
      <c r="G125" s="53"/>
      <c r="H125" s="53">
        <f>I125+L125</f>
        <v>0</v>
      </c>
      <c r="I125" s="53"/>
      <c r="J125" s="53"/>
      <c r="K125" s="53"/>
      <c r="L125" s="53"/>
      <c r="M125" s="53"/>
      <c r="N125" s="53"/>
      <c r="O125" s="53">
        <f t="shared" si="26"/>
        <v>1592.8</v>
      </c>
    </row>
    <row r="126" spans="1:15" ht="31.5" x14ac:dyDescent="0.25">
      <c r="A126" s="50" t="s">
        <v>269</v>
      </c>
      <c r="B126" s="50" t="s">
        <v>267</v>
      </c>
      <c r="C126" s="50" t="s">
        <v>98</v>
      </c>
      <c r="D126" s="18" t="s">
        <v>268</v>
      </c>
      <c r="E126" s="53"/>
      <c r="F126" s="53"/>
      <c r="G126" s="53"/>
      <c r="H126" s="53">
        <f>I126+L126</f>
        <v>200</v>
      </c>
      <c r="I126" s="53"/>
      <c r="J126" s="53"/>
      <c r="K126" s="53"/>
      <c r="L126" s="53">
        <v>200</v>
      </c>
      <c r="M126" s="53">
        <v>200</v>
      </c>
      <c r="N126" s="53">
        <v>200</v>
      </c>
      <c r="O126" s="53">
        <f t="shared" si="26"/>
        <v>200</v>
      </c>
    </row>
    <row r="127" spans="1:15" ht="31.5" x14ac:dyDescent="0.25">
      <c r="A127" s="50" t="s">
        <v>293</v>
      </c>
      <c r="B127" s="50" t="s">
        <v>291</v>
      </c>
      <c r="C127" s="50" t="s">
        <v>58</v>
      </c>
      <c r="D127" s="18" t="s">
        <v>258</v>
      </c>
      <c r="E127" s="53"/>
      <c r="F127" s="53"/>
      <c r="G127" s="53"/>
      <c r="H127" s="53">
        <f>I127+L127</f>
        <v>35100</v>
      </c>
      <c r="I127" s="53"/>
      <c r="J127" s="53"/>
      <c r="K127" s="53"/>
      <c r="L127" s="53">
        <f>100+10000+10000+5000+10000</f>
        <v>35100</v>
      </c>
      <c r="M127" s="53">
        <f>100+10000+10000+5000+10000</f>
        <v>35100</v>
      </c>
      <c r="N127" s="53">
        <f>100+10000+10000+5000+10000</f>
        <v>35100</v>
      </c>
      <c r="O127" s="53">
        <f t="shared" si="26"/>
        <v>35100</v>
      </c>
    </row>
    <row r="128" spans="1:15" ht="31.5" x14ac:dyDescent="0.25">
      <c r="A128" s="50" t="s">
        <v>271</v>
      </c>
      <c r="B128" s="50" t="s">
        <v>270</v>
      </c>
      <c r="C128" s="50" t="s">
        <v>273</v>
      </c>
      <c r="D128" s="18" t="s">
        <v>272</v>
      </c>
      <c r="E128" s="53"/>
      <c r="F128" s="53"/>
      <c r="G128" s="53"/>
      <c r="H128" s="53">
        <f>I128+L128</f>
        <v>15000</v>
      </c>
      <c r="I128" s="53"/>
      <c r="J128" s="53"/>
      <c r="K128" s="53"/>
      <c r="L128" s="53">
        <v>15000</v>
      </c>
      <c r="M128" s="53">
        <v>15000</v>
      </c>
      <c r="N128" s="53">
        <v>15000</v>
      </c>
      <c r="O128" s="53">
        <f t="shared" si="26"/>
        <v>15000</v>
      </c>
    </row>
    <row r="129" spans="1:15" s="13" customFormat="1" ht="43.5" x14ac:dyDescent="0.25">
      <c r="A129" s="46" t="s">
        <v>181</v>
      </c>
      <c r="B129" s="46"/>
      <c r="C129" s="46"/>
      <c r="D129" s="47" t="s">
        <v>24</v>
      </c>
      <c r="E129" s="49">
        <f>E130</f>
        <v>1824.7</v>
      </c>
      <c r="F129" s="49">
        <f t="shared" ref="F129:O129" si="27">F130</f>
        <v>1787</v>
      </c>
      <c r="G129" s="49">
        <f t="shared" si="27"/>
        <v>0</v>
      </c>
      <c r="H129" s="49">
        <f t="shared" si="27"/>
        <v>12</v>
      </c>
      <c r="I129" s="49">
        <f t="shared" si="27"/>
        <v>0</v>
      </c>
      <c r="J129" s="49">
        <f t="shared" si="27"/>
        <v>0</v>
      </c>
      <c r="K129" s="49">
        <f t="shared" si="27"/>
        <v>0</v>
      </c>
      <c r="L129" s="49">
        <f t="shared" si="27"/>
        <v>12</v>
      </c>
      <c r="M129" s="49">
        <f t="shared" si="27"/>
        <v>12</v>
      </c>
      <c r="N129" s="49">
        <f t="shared" si="27"/>
        <v>12</v>
      </c>
      <c r="O129" s="49">
        <f t="shared" si="27"/>
        <v>1836.7</v>
      </c>
    </row>
    <row r="130" spans="1:15" ht="43.5" x14ac:dyDescent="0.25">
      <c r="A130" s="46" t="s">
        <v>182</v>
      </c>
      <c r="B130" s="50"/>
      <c r="C130" s="50"/>
      <c r="D130" s="47" t="s">
        <v>24</v>
      </c>
      <c r="E130" s="49">
        <f>E131</f>
        <v>1824.7</v>
      </c>
      <c r="F130" s="49">
        <f>F131</f>
        <v>1787</v>
      </c>
      <c r="G130" s="49"/>
      <c r="H130" s="49">
        <f>I130+L130</f>
        <v>12</v>
      </c>
      <c r="I130" s="49"/>
      <c r="J130" s="49"/>
      <c r="K130" s="49"/>
      <c r="L130" s="49">
        <f>L131</f>
        <v>12</v>
      </c>
      <c r="M130" s="49">
        <f>M131</f>
        <v>12</v>
      </c>
      <c r="N130" s="49">
        <f>N131</f>
        <v>12</v>
      </c>
      <c r="O130" s="49">
        <f t="shared" si="26"/>
        <v>1836.7</v>
      </c>
    </row>
    <row r="131" spans="1:15" ht="47.25" x14ac:dyDescent="0.25">
      <c r="A131" s="50" t="s">
        <v>183</v>
      </c>
      <c r="B131" s="50" t="s">
        <v>124</v>
      </c>
      <c r="C131" s="50" t="s">
        <v>32</v>
      </c>
      <c r="D131" s="18" t="s">
        <v>126</v>
      </c>
      <c r="E131" s="53">
        <v>1824.7</v>
      </c>
      <c r="F131" s="53">
        <f>1465+322</f>
        <v>1787</v>
      </c>
      <c r="G131" s="53"/>
      <c r="H131" s="53">
        <f>I131+L131</f>
        <v>12</v>
      </c>
      <c r="I131" s="53"/>
      <c r="J131" s="53"/>
      <c r="K131" s="53"/>
      <c r="L131" s="53">
        <v>12</v>
      </c>
      <c r="M131" s="53">
        <v>12</v>
      </c>
      <c r="N131" s="53">
        <v>12</v>
      </c>
      <c r="O131" s="53">
        <f t="shared" si="26"/>
        <v>1836.7</v>
      </c>
    </row>
    <row r="132" spans="1:15" ht="43.5" x14ac:dyDescent="0.25">
      <c r="A132" s="46" t="s">
        <v>185</v>
      </c>
      <c r="B132" s="46"/>
      <c r="C132" s="46"/>
      <c r="D132" s="47" t="s">
        <v>23</v>
      </c>
      <c r="E132" s="49">
        <f>E133</f>
        <v>2188.1999999999998</v>
      </c>
      <c r="F132" s="49">
        <f t="shared" ref="F132:O132" si="28">F133</f>
        <v>1863</v>
      </c>
      <c r="G132" s="49">
        <f t="shared" si="28"/>
        <v>0</v>
      </c>
      <c r="H132" s="49">
        <f t="shared" si="28"/>
        <v>1790</v>
      </c>
      <c r="I132" s="49">
        <f t="shared" si="28"/>
        <v>0</v>
      </c>
      <c r="J132" s="49">
        <f t="shared" si="28"/>
        <v>0</v>
      </c>
      <c r="K132" s="49">
        <f t="shared" si="28"/>
        <v>0</v>
      </c>
      <c r="L132" s="49">
        <f t="shared" si="28"/>
        <v>1790</v>
      </c>
      <c r="M132" s="49">
        <f t="shared" si="28"/>
        <v>1790</v>
      </c>
      <c r="N132" s="49">
        <f t="shared" si="28"/>
        <v>1790</v>
      </c>
      <c r="O132" s="49">
        <f t="shared" si="28"/>
        <v>3978.2</v>
      </c>
    </row>
    <row r="133" spans="1:15" ht="43.5" x14ac:dyDescent="0.25">
      <c r="A133" s="46" t="s">
        <v>186</v>
      </c>
      <c r="B133" s="50"/>
      <c r="C133" s="50"/>
      <c r="D133" s="47" t="s">
        <v>23</v>
      </c>
      <c r="E133" s="49">
        <f>E134+E135+E136+E137+E138</f>
        <v>2188.1999999999998</v>
      </c>
      <c r="F133" s="49">
        <f t="shared" ref="F133:N133" si="29">F134+F135+F136+F137+F138</f>
        <v>1863</v>
      </c>
      <c r="G133" s="49">
        <f t="shared" si="29"/>
        <v>0</v>
      </c>
      <c r="H133" s="49">
        <f>I133+L133</f>
        <v>1790</v>
      </c>
      <c r="I133" s="49">
        <f t="shared" si="29"/>
        <v>0</v>
      </c>
      <c r="J133" s="49">
        <f t="shared" si="29"/>
        <v>0</v>
      </c>
      <c r="K133" s="49">
        <f t="shared" si="29"/>
        <v>0</v>
      </c>
      <c r="L133" s="49">
        <f t="shared" si="29"/>
        <v>1790</v>
      </c>
      <c r="M133" s="49">
        <f t="shared" si="29"/>
        <v>1790</v>
      </c>
      <c r="N133" s="49">
        <f t="shared" si="29"/>
        <v>1790</v>
      </c>
      <c r="O133" s="49">
        <f t="shared" ref="O133:O138" si="30">E133+H133</f>
        <v>3978.2</v>
      </c>
    </row>
    <row r="134" spans="1:15" ht="47.25" x14ac:dyDescent="0.25">
      <c r="A134" s="50" t="s">
        <v>187</v>
      </c>
      <c r="B134" s="50" t="s">
        <v>124</v>
      </c>
      <c r="C134" s="50" t="s">
        <v>32</v>
      </c>
      <c r="D134" s="18" t="s">
        <v>126</v>
      </c>
      <c r="E134" s="53">
        <v>1898.7</v>
      </c>
      <c r="F134" s="53">
        <f>1527+336</f>
        <v>1863</v>
      </c>
      <c r="G134" s="53"/>
      <c r="H134" s="53"/>
      <c r="I134" s="53"/>
      <c r="J134" s="53"/>
      <c r="K134" s="53"/>
      <c r="L134" s="53"/>
      <c r="M134" s="53"/>
      <c r="N134" s="53"/>
      <c r="O134" s="53">
        <f t="shared" si="30"/>
        <v>1898.7</v>
      </c>
    </row>
    <row r="135" spans="1:15" ht="31.5" x14ac:dyDescent="0.25">
      <c r="A135" s="50" t="s">
        <v>206</v>
      </c>
      <c r="B135" s="50" t="s">
        <v>41</v>
      </c>
      <c r="C135" s="50" t="s">
        <v>37</v>
      </c>
      <c r="D135" s="18" t="s">
        <v>207</v>
      </c>
      <c r="E135" s="53">
        <v>100.5</v>
      </c>
      <c r="F135" s="53"/>
      <c r="G135" s="53"/>
      <c r="H135" s="53"/>
      <c r="I135" s="53"/>
      <c r="J135" s="53"/>
      <c r="K135" s="53"/>
      <c r="L135" s="53"/>
      <c r="M135" s="53"/>
      <c r="N135" s="53"/>
      <c r="O135" s="53">
        <f t="shared" si="30"/>
        <v>100.5</v>
      </c>
    </row>
    <row r="136" spans="1:15" ht="15.75" x14ac:dyDescent="0.25">
      <c r="A136" s="50" t="s">
        <v>212</v>
      </c>
      <c r="B136" s="50" t="s">
        <v>211</v>
      </c>
      <c r="C136" s="50" t="s">
        <v>115</v>
      </c>
      <c r="D136" s="18" t="s">
        <v>213</v>
      </c>
      <c r="E136" s="53"/>
      <c r="F136" s="53"/>
      <c r="G136" s="53"/>
      <c r="H136" s="53">
        <f>I136+L136</f>
        <v>300</v>
      </c>
      <c r="I136" s="53"/>
      <c r="J136" s="53"/>
      <c r="K136" s="53"/>
      <c r="L136" s="53">
        <v>300</v>
      </c>
      <c r="M136" s="53">
        <v>300</v>
      </c>
      <c r="N136" s="53">
        <v>300</v>
      </c>
      <c r="O136" s="53">
        <f t="shared" si="30"/>
        <v>300</v>
      </c>
    </row>
    <row r="137" spans="1:15" ht="31.5" x14ac:dyDescent="0.25">
      <c r="A137" s="50" t="s">
        <v>294</v>
      </c>
      <c r="B137" s="50" t="s">
        <v>291</v>
      </c>
      <c r="C137" s="50" t="s">
        <v>58</v>
      </c>
      <c r="D137" s="18" t="s">
        <v>258</v>
      </c>
      <c r="E137" s="53"/>
      <c r="F137" s="53"/>
      <c r="G137" s="53"/>
      <c r="H137" s="53">
        <f>I137+L137</f>
        <v>1490</v>
      </c>
      <c r="I137" s="53"/>
      <c r="J137" s="53"/>
      <c r="K137" s="53"/>
      <c r="L137" s="53">
        <v>1490</v>
      </c>
      <c r="M137" s="53">
        <v>1490</v>
      </c>
      <c r="N137" s="53">
        <v>1490</v>
      </c>
      <c r="O137" s="53">
        <f t="shared" si="30"/>
        <v>1490</v>
      </c>
    </row>
    <row r="138" spans="1:15" ht="30" x14ac:dyDescent="0.25">
      <c r="A138" s="50" t="s">
        <v>209</v>
      </c>
      <c r="B138" s="50" t="s">
        <v>208</v>
      </c>
      <c r="C138" s="50" t="s">
        <v>58</v>
      </c>
      <c r="D138" s="54" t="s">
        <v>210</v>
      </c>
      <c r="E138" s="53">
        <v>189</v>
      </c>
      <c r="F138" s="53"/>
      <c r="G138" s="53"/>
      <c r="H138" s="53"/>
      <c r="I138" s="53"/>
      <c r="J138" s="53"/>
      <c r="K138" s="53"/>
      <c r="L138" s="53"/>
      <c r="M138" s="53"/>
      <c r="N138" s="53"/>
      <c r="O138" s="53">
        <f t="shared" si="30"/>
        <v>189</v>
      </c>
    </row>
    <row r="139" spans="1:15" s="13" customFormat="1" ht="29.25" x14ac:dyDescent="0.25">
      <c r="A139" s="46" t="s">
        <v>188</v>
      </c>
      <c r="B139" s="46"/>
      <c r="C139" s="46"/>
      <c r="D139" s="47" t="s">
        <v>16</v>
      </c>
      <c r="E139" s="49">
        <f>E140</f>
        <v>61279.9</v>
      </c>
      <c r="F139" s="49">
        <f t="shared" ref="F139:O139" si="31">F140</f>
        <v>2766.1</v>
      </c>
      <c r="G139" s="49">
        <f t="shared" si="31"/>
        <v>0</v>
      </c>
      <c r="H139" s="49">
        <f t="shared" si="31"/>
        <v>15096</v>
      </c>
      <c r="I139" s="49">
        <f t="shared" si="31"/>
        <v>0</v>
      </c>
      <c r="J139" s="49">
        <f t="shared" si="31"/>
        <v>0</v>
      </c>
      <c r="K139" s="49">
        <f t="shared" si="31"/>
        <v>0</v>
      </c>
      <c r="L139" s="49">
        <f t="shared" si="31"/>
        <v>15096</v>
      </c>
      <c r="M139" s="49">
        <f t="shared" si="31"/>
        <v>15096</v>
      </c>
      <c r="N139" s="49">
        <f t="shared" si="31"/>
        <v>15096</v>
      </c>
      <c r="O139" s="49">
        <f t="shared" si="31"/>
        <v>76375.899999999994</v>
      </c>
    </row>
    <row r="140" spans="1:15" ht="29.25" x14ac:dyDescent="0.25">
      <c r="A140" s="46" t="s">
        <v>189</v>
      </c>
      <c r="B140" s="50"/>
      <c r="C140" s="50"/>
      <c r="D140" s="47" t="s">
        <v>16</v>
      </c>
      <c r="E140" s="49">
        <f>E141+E142+E143+E144</f>
        <v>61279.9</v>
      </c>
      <c r="F140" s="49">
        <f>F141+F142+F143+F144</f>
        <v>2766.1</v>
      </c>
      <c r="G140" s="49">
        <f>G141+G142+G143+G144</f>
        <v>0</v>
      </c>
      <c r="H140" s="49">
        <f>I140+L140</f>
        <v>15096</v>
      </c>
      <c r="I140" s="49">
        <f t="shared" ref="I140:N140" si="32">I141+I142+I143+I144</f>
        <v>0</v>
      </c>
      <c r="J140" s="49">
        <f t="shared" si="32"/>
        <v>0</v>
      </c>
      <c r="K140" s="49">
        <f t="shared" si="32"/>
        <v>0</v>
      </c>
      <c r="L140" s="49">
        <f t="shared" si="32"/>
        <v>15096</v>
      </c>
      <c r="M140" s="49">
        <f t="shared" si="32"/>
        <v>15096</v>
      </c>
      <c r="N140" s="49">
        <f t="shared" si="32"/>
        <v>15096</v>
      </c>
      <c r="O140" s="49">
        <f t="shared" si="26"/>
        <v>76375.899999999994</v>
      </c>
    </row>
    <row r="141" spans="1:15" ht="47.25" x14ac:dyDescent="0.25">
      <c r="A141" s="50" t="s">
        <v>190</v>
      </c>
      <c r="B141" s="50" t="s">
        <v>124</v>
      </c>
      <c r="C141" s="50" t="s">
        <v>32</v>
      </c>
      <c r="D141" s="18" t="s">
        <v>126</v>
      </c>
      <c r="E141" s="53">
        <f>2840.9+55</f>
        <v>2895.9</v>
      </c>
      <c r="F141" s="53">
        <f>2222.2+488.9+55</f>
        <v>2766.1</v>
      </c>
      <c r="G141" s="53"/>
      <c r="H141" s="53">
        <f>I141+L141</f>
        <v>20</v>
      </c>
      <c r="I141" s="53"/>
      <c r="J141" s="53"/>
      <c r="K141" s="53"/>
      <c r="L141" s="53">
        <v>20</v>
      </c>
      <c r="M141" s="53">
        <v>20</v>
      </c>
      <c r="N141" s="53">
        <v>20</v>
      </c>
      <c r="O141" s="53">
        <f t="shared" si="26"/>
        <v>2915.9</v>
      </c>
    </row>
    <row r="142" spans="1:15" x14ac:dyDescent="0.25">
      <c r="A142" s="50" t="s">
        <v>214</v>
      </c>
      <c r="B142" s="50" t="s">
        <v>41</v>
      </c>
      <c r="C142" s="50" t="s">
        <v>37</v>
      </c>
      <c r="D142" s="54" t="s">
        <v>207</v>
      </c>
      <c r="E142" s="53">
        <f>100+6000</f>
        <v>6100</v>
      </c>
      <c r="F142" s="53"/>
      <c r="G142" s="53"/>
      <c r="H142" s="53">
        <f>I142+L142</f>
        <v>15076</v>
      </c>
      <c r="I142" s="53"/>
      <c r="J142" s="53"/>
      <c r="K142" s="53"/>
      <c r="L142" s="53">
        <f>13873+5000-2297-500-1000</f>
        <v>15076</v>
      </c>
      <c r="M142" s="53">
        <f>13873+5000-2297-500-1000</f>
        <v>15076</v>
      </c>
      <c r="N142" s="53">
        <f>13873+5000-2297-500-1000</f>
        <v>15076</v>
      </c>
      <c r="O142" s="53">
        <f t="shared" si="26"/>
        <v>21176</v>
      </c>
    </row>
    <row r="143" spans="1:15" x14ac:dyDescent="0.25">
      <c r="A143" s="50" t="s">
        <v>218</v>
      </c>
      <c r="B143" s="50" t="s">
        <v>217</v>
      </c>
      <c r="C143" s="50" t="s">
        <v>37</v>
      </c>
      <c r="D143" s="54" t="s">
        <v>12</v>
      </c>
      <c r="E143" s="53">
        <f>3000+3000</f>
        <v>6000</v>
      </c>
      <c r="F143" s="53"/>
      <c r="G143" s="53"/>
      <c r="H143" s="53"/>
      <c r="I143" s="53"/>
      <c r="J143" s="53"/>
      <c r="K143" s="53"/>
      <c r="L143" s="53"/>
      <c r="M143" s="53"/>
      <c r="N143" s="53"/>
      <c r="O143" s="53">
        <f t="shared" si="26"/>
        <v>6000</v>
      </c>
    </row>
    <row r="144" spans="1:15" x14ac:dyDescent="0.25">
      <c r="A144" s="50" t="s">
        <v>216</v>
      </c>
      <c r="B144" s="50" t="s">
        <v>215</v>
      </c>
      <c r="C144" s="50" t="s">
        <v>41</v>
      </c>
      <c r="D144" s="54" t="s">
        <v>13</v>
      </c>
      <c r="E144" s="53">
        <v>46284</v>
      </c>
      <c r="F144" s="53"/>
      <c r="G144" s="53"/>
      <c r="H144" s="53"/>
      <c r="I144" s="53"/>
      <c r="J144" s="53"/>
      <c r="K144" s="53"/>
      <c r="L144" s="53"/>
      <c r="M144" s="53"/>
      <c r="N144" s="53"/>
      <c r="O144" s="53">
        <f t="shared" si="26"/>
        <v>46284</v>
      </c>
    </row>
    <row r="145" spans="1:15" x14ac:dyDescent="0.25">
      <c r="A145" s="50"/>
      <c r="B145" s="50"/>
      <c r="C145" s="50"/>
      <c r="D145" s="61" t="s">
        <v>11</v>
      </c>
      <c r="E145" s="49">
        <f>E14+E31+E35+E39+E43+E61+E86+E91+E100+E109+E123+E129+E132+E139</f>
        <v>658544.79999999993</v>
      </c>
      <c r="F145" s="49">
        <f>F14+F31+F35+F39+F43+F61+F86+F91+F100+F109+F123+F129+F132+F139</f>
        <v>246322.50000000003</v>
      </c>
      <c r="G145" s="49">
        <f>G14+G31+G35+G39+G43+G61+G86+G91+G100+G109+G123+G129+G132+G139</f>
        <v>26806.400000000001</v>
      </c>
      <c r="H145" s="49">
        <f>I145+L145</f>
        <v>157751.201</v>
      </c>
      <c r="I145" s="49">
        <f t="shared" ref="I145:N145" si="33">I14+I31+I35+I39+I43+I61+I86+I91+I100+I109+I123+I129+I132+I139</f>
        <v>19090.200999999997</v>
      </c>
      <c r="J145" s="49">
        <f t="shared" si="33"/>
        <v>233.8</v>
      </c>
      <c r="K145" s="49">
        <f t="shared" si="33"/>
        <v>0</v>
      </c>
      <c r="L145" s="49">
        <f t="shared" si="33"/>
        <v>138661</v>
      </c>
      <c r="M145" s="49">
        <f t="shared" si="33"/>
        <v>138607</v>
      </c>
      <c r="N145" s="49">
        <f t="shared" si="33"/>
        <v>132607</v>
      </c>
      <c r="O145" s="49">
        <f>E145+H145</f>
        <v>816296.00099999993</v>
      </c>
    </row>
    <row r="146" spans="1:15" x14ac:dyDescent="0.25">
      <c r="D146" s="62"/>
      <c r="E146" s="62"/>
      <c r="F146" s="62"/>
      <c r="G146" s="62"/>
      <c r="J146" s="63"/>
      <c r="K146" s="63"/>
      <c r="L146" s="63"/>
      <c r="M146" s="63"/>
      <c r="N146" s="63"/>
      <c r="O146" s="63"/>
    </row>
    <row r="147" spans="1:15" s="22" customFormat="1" ht="18.75" x14ac:dyDescent="0.3">
      <c r="A147" s="64"/>
      <c r="B147" s="64"/>
      <c r="C147" s="64"/>
      <c r="D147" s="22" t="s">
        <v>108</v>
      </c>
      <c r="E147" s="65"/>
      <c r="L147" s="22" t="s">
        <v>109</v>
      </c>
    </row>
    <row r="148" spans="1:15" s="2" customFormat="1" x14ac:dyDescent="0.25">
      <c r="A148" s="6"/>
      <c r="B148" s="6"/>
      <c r="C148" s="6"/>
      <c r="D148" s="32"/>
      <c r="E148" s="17"/>
      <c r="K148" s="32"/>
    </row>
    <row r="149" spans="1:15" s="2" customFormat="1" x14ac:dyDescent="0.25">
      <c r="A149" s="6"/>
      <c r="B149" s="6"/>
      <c r="C149" s="6"/>
      <c r="D149" s="32"/>
      <c r="E149" s="17"/>
      <c r="K149" s="32"/>
    </row>
    <row r="150" spans="1:15" x14ac:dyDescent="0.25">
      <c r="E150" s="66"/>
      <c r="F150" s="66"/>
      <c r="G150" s="66"/>
      <c r="H150" s="66"/>
      <c r="I150" s="66"/>
      <c r="J150" s="14"/>
      <c r="K150" s="14"/>
      <c r="L150" s="14"/>
      <c r="M150" s="66"/>
      <c r="N150" s="66"/>
      <c r="O150" s="66"/>
    </row>
    <row r="151" spans="1:15" x14ac:dyDescent="0.25"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</row>
    <row r="152" spans="1:15" x14ac:dyDescent="0.25">
      <c r="E152" s="14"/>
      <c r="F152" s="14"/>
      <c r="G152" s="14"/>
      <c r="H152" s="67">
        <v>480</v>
      </c>
      <c r="I152" s="68" t="s">
        <v>359</v>
      </c>
      <c r="J152" s="14"/>
      <c r="K152" s="14"/>
      <c r="L152" s="14"/>
      <c r="M152" s="14"/>
      <c r="N152" s="14"/>
      <c r="O152" s="34"/>
    </row>
    <row r="153" spans="1:15" ht="18.75" x14ac:dyDescent="0.3">
      <c r="E153" s="14" t="e">
        <f>SUM(E157:E166)</f>
        <v>#REF!</v>
      </c>
      <c r="F153" s="14"/>
      <c r="G153" s="14"/>
      <c r="H153" s="69">
        <v>18564.901000000002</v>
      </c>
      <c r="I153" s="70" t="s">
        <v>360</v>
      </c>
      <c r="J153" s="14"/>
      <c r="K153" s="14"/>
      <c r="L153" s="14"/>
      <c r="M153" s="14"/>
      <c r="N153" s="14"/>
      <c r="O153" s="14"/>
    </row>
    <row r="154" spans="1:15" x14ac:dyDescent="0.25">
      <c r="E154" s="14"/>
      <c r="F154" s="14"/>
      <c r="G154" s="14"/>
      <c r="H154" s="69">
        <f>1808+500+5000+5000+520+2533+40300+70+300+15000+4000+3610+17203+2000+4000+1900+1000+10000+13873+5000+1490</f>
        <v>135107</v>
      </c>
      <c r="I154" s="71" t="s">
        <v>361</v>
      </c>
      <c r="J154" s="14"/>
      <c r="K154" s="14"/>
      <c r="L154" s="14"/>
      <c r="M154" s="14"/>
      <c r="N154" s="14"/>
      <c r="O154" s="14"/>
    </row>
    <row r="155" spans="1:15" x14ac:dyDescent="0.25">
      <c r="E155" s="14"/>
      <c r="F155" s="14"/>
      <c r="G155" s="14"/>
      <c r="H155" s="69">
        <v>50000</v>
      </c>
      <c r="I155" s="71" t="s">
        <v>362</v>
      </c>
      <c r="J155" s="14"/>
      <c r="K155" s="14"/>
      <c r="L155" s="14"/>
      <c r="M155" s="14"/>
      <c r="N155" s="14"/>
      <c r="O155" s="14"/>
    </row>
    <row r="156" spans="1:15" x14ac:dyDescent="0.25">
      <c r="D156" s="72" t="s">
        <v>363</v>
      </c>
      <c r="E156" s="14"/>
      <c r="F156" s="14"/>
      <c r="G156" s="14"/>
      <c r="H156" s="14"/>
      <c r="I156" s="14"/>
      <c r="L156" s="14"/>
      <c r="M156" s="14"/>
      <c r="N156" s="14"/>
    </row>
    <row r="157" spans="1:15" x14ac:dyDescent="0.25">
      <c r="D157" s="4" t="s">
        <v>364</v>
      </c>
      <c r="E157" s="34">
        <f t="shared" ref="E157:O157" si="34">E16+E17+E18+E33+E37+E41+E45+E63+E88+E93+E102+E111+E125+E131+E134+E141+E142+E135</f>
        <v>59517.30000000001</v>
      </c>
      <c r="F157" s="34">
        <f t="shared" si="34"/>
        <v>45269.1</v>
      </c>
      <c r="G157" s="34">
        <f t="shared" si="34"/>
        <v>2463.3999999999996</v>
      </c>
      <c r="H157" s="34">
        <f t="shared" si="34"/>
        <v>17549</v>
      </c>
      <c r="I157" s="34">
        <f t="shared" si="34"/>
        <v>165</v>
      </c>
      <c r="J157" s="34">
        <f t="shared" si="34"/>
        <v>0</v>
      </c>
      <c r="K157" s="34">
        <f t="shared" si="34"/>
        <v>0</v>
      </c>
      <c r="L157" s="34">
        <f t="shared" si="34"/>
        <v>17384</v>
      </c>
      <c r="M157" s="34">
        <f t="shared" si="34"/>
        <v>17384</v>
      </c>
      <c r="N157" s="34">
        <f t="shared" si="34"/>
        <v>17384</v>
      </c>
      <c r="O157" s="34">
        <f t="shared" si="34"/>
        <v>77066.3</v>
      </c>
    </row>
    <row r="158" spans="1:15" x14ac:dyDescent="0.25">
      <c r="D158" s="4" t="s">
        <v>365</v>
      </c>
      <c r="E158" s="34">
        <f>E46+E47+E49+E51+E53+E54+E55+E56+E94+E57</f>
        <v>221314</v>
      </c>
      <c r="F158" s="34">
        <f t="shared" ref="F158:O158" si="35">F46+F47+F49+F51+F53+F54+F55+F56+F94+F57</f>
        <v>180691.80000000002</v>
      </c>
      <c r="G158" s="34">
        <f t="shared" si="35"/>
        <v>22499.700000000004</v>
      </c>
      <c r="H158" s="34">
        <f t="shared" si="35"/>
        <v>18035.300999999999</v>
      </c>
      <c r="I158" s="34">
        <f t="shared" si="35"/>
        <v>10015.300999999999</v>
      </c>
      <c r="J158" s="34">
        <f t="shared" si="35"/>
        <v>194.8</v>
      </c>
      <c r="K158" s="34">
        <f t="shared" si="35"/>
        <v>0</v>
      </c>
      <c r="L158" s="34">
        <f t="shared" si="35"/>
        <v>8020</v>
      </c>
      <c r="M158" s="34">
        <f t="shared" si="35"/>
        <v>8000</v>
      </c>
      <c r="N158" s="34">
        <f t="shared" si="35"/>
        <v>8000</v>
      </c>
      <c r="O158" s="34">
        <f t="shared" si="35"/>
        <v>239308.40099999998</v>
      </c>
    </row>
    <row r="159" spans="1:15" x14ac:dyDescent="0.25">
      <c r="D159" s="4" t="s">
        <v>366</v>
      </c>
      <c r="E159" s="34">
        <f>E19+E20+E21+E22</f>
        <v>93695.8</v>
      </c>
      <c r="F159" s="34">
        <f t="shared" ref="F159:O159" si="36">F19+F20</f>
        <v>0</v>
      </c>
      <c r="G159" s="34">
        <f t="shared" si="36"/>
        <v>0</v>
      </c>
      <c r="H159" s="34">
        <f t="shared" si="36"/>
        <v>15644.6</v>
      </c>
      <c r="I159" s="34">
        <f t="shared" si="36"/>
        <v>8104.6</v>
      </c>
      <c r="J159" s="34">
        <f t="shared" si="36"/>
        <v>0</v>
      </c>
      <c r="K159" s="34">
        <f t="shared" si="36"/>
        <v>0</v>
      </c>
      <c r="L159" s="34">
        <f t="shared" si="36"/>
        <v>7540</v>
      </c>
      <c r="M159" s="34">
        <f t="shared" si="36"/>
        <v>7520</v>
      </c>
      <c r="N159" s="34">
        <f t="shared" si="36"/>
        <v>7520</v>
      </c>
      <c r="O159" s="34">
        <f t="shared" si="36"/>
        <v>106016.90000000001</v>
      </c>
    </row>
    <row r="160" spans="1:15" x14ac:dyDescent="0.25">
      <c r="D160" s="4" t="s">
        <v>367</v>
      </c>
      <c r="E160" s="34" t="e">
        <f>E23+E58+E59+E64+E65+E66+E67+E68+E69+E70+E71+E72+E73+E74+E75+E76+E77+E79+E80+E81+E82+E83+E84+E85+E89+E90+E104+#REF!+E105+E112</f>
        <v>#REF!</v>
      </c>
      <c r="F160" s="34" t="e">
        <f>F23+F58+F59+F64+F65+F66+F67+F68+F69+F70+F71+F72+F73+F74+F75+F76+F77+F79+F80+F81+F82+F83+F84+F85+F89+F90+F104+#REF!+F105+F112</f>
        <v>#REF!</v>
      </c>
      <c r="G160" s="34" t="e">
        <f>G23+G58+G59+G64+G65+G66+G67+G68+G69+G70+G71+G72+G73+G74+G75+G76+G77+G79+G80+G81+G82+G83+G84+G85+G89+G90+G104+#REF!+G105+G112</f>
        <v>#REF!</v>
      </c>
      <c r="H160" s="34" t="e">
        <f>H23+H58+H59+H64+H65+H66+H67+H68+H69+H70+H71+H72+H73+H74+H75+H76+H77+H79+H80+H81+H82+H83+H84+H85+H89+H90+H104+#REF!+H105+H112</f>
        <v>#REF!</v>
      </c>
      <c r="I160" s="34" t="e">
        <f>I23+I58+I59+I64+I65+I66+I67+I68+I69+I70+I71+I72+I73+I74+I75+I76+I77+I79+I80+I81+I82+I83+I84+I85+I89+I90+I104+#REF!+I105+I112</f>
        <v>#REF!</v>
      </c>
      <c r="J160" s="34" t="e">
        <f>J23+J58+J59+J64+J65+J66+J67+J68+J69+J70+J71+J72+J73+J74+J75+J76+J77+J79+J80+J81+J82+J83+J84+J85+J89+J90+J104+#REF!+J105+J112</f>
        <v>#REF!</v>
      </c>
      <c r="K160" s="34" t="e">
        <f>K23+K58+K59+K64+K65+K66+K67+K68+K69+K70+K71+K72+K73+K74+K75+K76+K77+K79+K80+K81+K82+K83+K84+K85+K89+K90+K104+#REF!+K105+K112</f>
        <v>#REF!</v>
      </c>
      <c r="L160" s="34" t="e">
        <f>L23+L58+L59+L64+L65+L66+L67+L68+L69+L70+L71+L72+L73+L74+L75+L76+L77+L79+L80+L81+L82+L83+L84+L85+L89+L90+L104+#REF!+L105+L112</f>
        <v>#REF!</v>
      </c>
      <c r="M160" s="34" t="e">
        <f>M23+M58+M59+M64+M65+M66+M67+M68+M69+M70+M71+M72+M73+M74+M75+M76+M77+M79+M80+M81+M82+M83+M84+M85+M89+M90+M104+#REF!+M105+M112</f>
        <v>#REF!</v>
      </c>
      <c r="N160" s="34" t="e">
        <f>N23+N58+N59+N64+N65+N66+N67+N68+N69+N70+N71+N72+N73+N74+N75+N76+N77+N79+N80+N81+N82+N83+N84+N85+N89+N90+N104+#REF!+N105+N112</f>
        <v>#REF!</v>
      </c>
      <c r="O160" s="34" t="e">
        <f>O23+O58+O59+O64+O65+O66+O67+O68+O69+O70+O71+O72+O73+O74+O75+O76+O77+O79+O80+O81+O82+O83+O84+O85+O89+O90+O104+#REF!+O105+O112</f>
        <v>#REF!</v>
      </c>
    </row>
    <row r="161" spans="4:15" x14ac:dyDescent="0.25">
      <c r="D161" s="4" t="s">
        <v>368</v>
      </c>
      <c r="E161" s="34">
        <f>E95+E96+E97+E98+E99</f>
        <v>14020.500000000002</v>
      </c>
      <c r="F161" s="34">
        <f t="shared" ref="F161:O161" si="37">F95+F96+F97+F98+F99</f>
        <v>10081.799999999999</v>
      </c>
      <c r="G161" s="34">
        <f t="shared" si="37"/>
        <v>1416.7</v>
      </c>
      <c r="H161" s="34">
        <f t="shared" si="37"/>
        <v>2759</v>
      </c>
      <c r="I161" s="34">
        <f t="shared" si="37"/>
        <v>226</v>
      </c>
      <c r="J161" s="34">
        <f t="shared" si="37"/>
        <v>39</v>
      </c>
      <c r="K161" s="34">
        <f t="shared" si="37"/>
        <v>0</v>
      </c>
      <c r="L161" s="34">
        <f t="shared" si="37"/>
        <v>2533</v>
      </c>
      <c r="M161" s="34">
        <f t="shared" si="37"/>
        <v>2533</v>
      </c>
      <c r="N161" s="34">
        <f t="shared" si="37"/>
        <v>2533</v>
      </c>
      <c r="O161" s="34">
        <f t="shared" si="37"/>
        <v>16779.5</v>
      </c>
    </row>
    <row r="162" spans="4:15" x14ac:dyDescent="0.25">
      <c r="D162" s="4" t="s">
        <v>369</v>
      </c>
      <c r="E162" s="34">
        <f t="shared" ref="E162:O162" si="38">E60+E107+E108+E106</f>
        <v>5356</v>
      </c>
      <c r="F162" s="34">
        <f t="shared" si="38"/>
        <v>3658.7</v>
      </c>
      <c r="G162" s="34">
        <f t="shared" si="38"/>
        <v>264.89999999999998</v>
      </c>
      <c r="H162" s="34">
        <f t="shared" si="38"/>
        <v>0</v>
      </c>
      <c r="I162" s="34">
        <f t="shared" si="38"/>
        <v>0</v>
      </c>
      <c r="J162" s="34">
        <f t="shared" si="38"/>
        <v>0</v>
      </c>
      <c r="K162" s="34">
        <f t="shared" si="38"/>
        <v>0</v>
      </c>
      <c r="L162" s="34">
        <f t="shared" si="38"/>
        <v>0</v>
      </c>
      <c r="M162" s="34">
        <f t="shared" si="38"/>
        <v>0</v>
      </c>
      <c r="N162" s="34">
        <f t="shared" si="38"/>
        <v>0</v>
      </c>
      <c r="O162" s="34">
        <f t="shared" si="38"/>
        <v>5356</v>
      </c>
    </row>
    <row r="163" spans="4:15" x14ac:dyDescent="0.25">
      <c r="D163" s="73">
        <v>6</v>
      </c>
      <c r="E163" s="34">
        <f t="shared" ref="E163:O163" si="39">E34+E38+E42+E113+E114+E115+E116+E117+E126</f>
        <v>45600.100000000006</v>
      </c>
      <c r="F163" s="34">
        <f t="shared" si="39"/>
        <v>0</v>
      </c>
      <c r="G163" s="34">
        <f t="shared" si="39"/>
        <v>0</v>
      </c>
      <c r="H163" s="34">
        <f t="shared" si="39"/>
        <v>30280</v>
      </c>
      <c r="I163" s="34">
        <f t="shared" si="39"/>
        <v>0</v>
      </c>
      <c r="J163" s="34">
        <f t="shared" si="39"/>
        <v>0</v>
      </c>
      <c r="K163" s="34">
        <f t="shared" si="39"/>
        <v>0</v>
      </c>
      <c r="L163" s="34">
        <f t="shared" si="39"/>
        <v>30280</v>
      </c>
      <c r="M163" s="34">
        <f t="shared" si="39"/>
        <v>30280</v>
      </c>
      <c r="N163" s="34">
        <f t="shared" si="39"/>
        <v>25280</v>
      </c>
      <c r="O163" s="34">
        <f t="shared" si="39"/>
        <v>75880.100000000006</v>
      </c>
    </row>
    <row r="164" spans="4:15" x14ac:dyDescent="0.25">
      <c r="D164" s="73">
        <v>7</v>
      </c>
      <c r="E164" s="34">
        <f t="shared" ref="E164:O164" si="40">E24+E25+E26+E27+E118+E119+E120+E121+E127+E136+E137+E138</f>
        <v>19060.7</v>
      </c>
      <c r="F164" s="34">
        <f t="shared" si="40"/>
        <v>0</v>
      </c>
      <c r="G164" s="34">
        <f t="shared" si="40"/>
        <v>0</v>
      </c>
      <c r="H164" s="34">
        <f t="shared" si="40"/>
        <v>57890</v>
      </c>
      <c r="I164" s="34">
        <f t="shared" si="40"/>
        <v>0</v>
      </c>
      <c r="J164" s="34">
        <f t="shared" si="40"/>
        <v>0</v>
      </c>
      <c r="K164" s="34">
        <f t="shared" si="40"/>
        <v>0</v>
      </c>
      <c r="L164" s="34">
        <f t="shared" si="40"/>
        <v>57890</v>
      </c>
      <c r="M164" s="34">
        <f t="shared" si="40"/>
        <v>57890</v>
      </c>
      <c r="N164" s="34">
        <f t="shared" si="40"/>
        <v>56890</v>
      </c>
      <c r="O164" s="34">
        <f t="shared" si="40"/>
        <v>76950.7</v>
      </c>
    </row>
    <row r="165" spans="4:15" x14ac:dyDescent="0.25">
      <c r="D165" s="73">
        <v>8</v>
      </c>
      <c r="E165" s="34">
        <f t="shared" ref="E165:O165" si="41">E28+E29+E30+E122+E128+E143</f>
        <v>9049.5</v>
      </c>
      <c r="F165" s="34">
        <f t="shared" si="41"/>
        <v>0</v>
      </c>
      <c r="G165" s="34">
        <f t="shared" si="41"/>
        <v>0</v>
      </c>
      <c r="H165" s="34">
        <f t="shared" si="41"/>
        <v>15579.3</v>
      </c>
      <c r="I165" s="34">
        <f t="shared" si="41"/>
        <v>579.29999999999995</v>
      </c>
      <c r="J165" s="34">
        <f t="shared" si="41"/>
        <v>0</v>
      </c>
      <c r="K165" s="34">
        <f t="shared" si="41"/>
        <v>0</v>
      </c>
      <c r="L165" s="34">
        <f t="shared" si="41"/>
        <v>15000</v>
      </c>
      <c r="M165" s="34">
        <f t="shared" si="41"/>
        <v>15000</v>
      </c>
      <c r="N165" s="34">
        <f t="shared" si="41"/>
        <v>15000</v>
      </c>
      <c r="O165" s="34">
        <f t="shared" si="41"/>
        <v>24628.799999999999</v>
      </c>
    </row>
    <row r="166" spans="4:15" x14ac:dyDescent="0.25">
      <c r="D166" s="73">
        <v>9</v>
      </c>
      <c r="E166" s="34">
        <f>E144</f>
        <v>46284</v>
      </c>
      <c r="F166" s="34">
        <f t="shared" ref="F166:O166" si="42">F144</f>
        <v>0</v>
      </c>
      <c r="G166" s="34">
        <f t="shared" si="42"/>
        <v>0</v>
      </c>
      <c r="H166" s="34">
        <f t="shared" si="42"/>
        <v>0</v>
      </c>
      <c r="I166" s="34">
        <f t="shared" si="42"/>
        <v>0</v>
      </c>
      <c r="J166" s="34">
        <f t="shared" si="42"/>
        <v>0</v>
      </c>
      <c r="K166" s="34">
        <f t="shared" si="42"/>
        <v>0</v>
      </c>
      <c r="L166" s="34">
        <f t="shared" si="42"/>
        <v>0</v>
      </c>
      <c r="M166" s="34">
        <f t="shared" si="42"/>
        <v>0</v>
      </c>
      <c r="N166" s="34">
        <f t="shared" si="42"/>
        <v>0</v>
      </c>
      <c r="O166" s="34">
        <f t="shared" si="42"/>
        <v>46284</v>
      </c>
    </row>
    <row r="167" spans="4:15" x14ac:dyDescent="0.25">
      <c r="E167" s="34"/>
      <c r="F167" s="34"/>
      <c r="G167" s="34"/>
      <c r="H167" s="14"/>
      <c r="I167" s="14"/>
      <c r="J167" s="14"/>
      <c r="K167" s="14"/>
      <c r="L167" s="14"/>
      <c r="M167" s="14"/>
      <c r="N167" s="14"/>
      <c r="O167" s="14"/>
    </row>
    <row r="168" spans="4:15" x14ac:dyDescent="0.25">
      <c r="E168" s="34"/>
      <c r="F168" s="34"/>
      <c r="G168" s="34"/>
      <c r="H168" s="14"/>
      <c r="I168" s="14"/>
      <c r="J168" s="14"/>
      <c r="K168" s="14"/>
      <c r="L168" s="14"/>
      <c r="M168" s="14"/>
      <c r="N168" s="14"/>
      <c r="O168" s="14"/>
    </row>
    <row r="169" spans="4:15" x14ac:dyDescent="0.25">
      <c r="E169" s="34"/>
      <c r="F169" s="34"/>
      <c r="G169" s="34"/>
      <c r="H169" s="14"/>
      <c r="I169" s="14"/>
      <c r="J169" s="14"/>
      <c r="K169" s="14"/>
      <c r="L169" s="14"/>
      <c r="M169" s="14"/>
      <c r="N169" s="14"/>
      <c r="O169" s="14"/>
    </row>
    <row r="170" spans="4:15" x14ac:dyDescent="0.25">
      <c r="E170" s="34"/>
      <c r="F170" s="34"/>
      <c r="G170" s="34"/>
      <c r="H170" s="14"/>
      <c r="I170" s="14"/>
      <c r="J170" s="14"/>
      <c r="K170" s="14"/>
      <c r="L170" s="14"/>
      <c r="M170" s="14"/>
      <c r="N170" s="14"/>
      <c r="O170" s="14"/>
    </row>
    <row r="171" spans="4:15" ht="15.75" x14ac:dyDescent="0.25">
      <c r="D171" s="46"/>
      <c r="E171" s="46"/>
      <c r="F171" s="74"/>
      <c r="G171" s="34"/>
      <c r="H171" s="14"/>
      <c r="I171" s="14"/>
      <c r="J171" s="14"/>
      <c r="K171" s="14"/>
      <c r="L171" s="14"/>
      <c r="M171" s="14"/>
      <c r="N171" s="14"/>
      <c r="O171" s="14"/>
    </row>
    <row r="172" spans="4:15" x14ac:dyDescent="0.25">
      <c r="E172" s="34"/>
      <c r="F172" s="34"/>
      <c r="G172" s="34"/>
      <c r="H172" s="14"/>
      <c r="I172" s="14"/>
      <c r="J172" s="14"/>
      <c r="K172" s="14"/>
      <c r="L172" s="14"/>
      <c r="M172" s="14"/>
      <c r="N172" s="14"/>
      <c r="O172" s="14"/>
    </row>
    <row r="173" spans="4:15" ht="15.75" x14ac:dyDescent="0.25">
      <c r="E173" s="34"/>
      <c r="F173" s="34"/>
      <c r="G173" s="12"/>
      <c r="H173" s="14"/>
      <c r="I173" s="14"/>
      <c r="J173" s="14"/>
      <c r="K173" s="14"/>
      <c r="L173" s="14"/>
      <c r="M173" s="14"/>
      <c r="N173" s="14"/>
      <c r="O173" s="14"/>
    </row>
    <row r="174" spans="4:15" x14ac:dyDescent="0.25">
      <c r="E174" s="34"/>
      <c r="F174" s="34"/>
      <c r="G174" s="34"/>
      <c r="H174" s="14"/>
      <c r="I174" s="14"/>
      <c r="J174" s="14"/>
      <c r="K174" s="14"/>
      <c r="L174" s="14"/>
      <c r="M174" s="14"/>
      <c r="N174" s="14"/>
      <c r="O174" s="14"/>
    </row>
    <row r="175" spans="4:15" x14ac:dyDescent="0.25">
      <c r="E175" s="34"/>
      <c r="F175" s="34"/>
      <c r="G175" s="34"/>
      <c r="H175" s="14"/>
      <c r="I175" s="14"/>
      <c r="J175" s="14"/>
      <c r="K175" s="14"/>
      <c r="L175" s="14"/>
      <c r="M175" s="14"/>
      <c r="N175" s="14"/>
      <c r="O175" s="14"/>
    </row>
    <row r="176" spans="4:15" x14ac:dyDescent="0.25"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</row>
    <row r="177" spans="8:15" x14ac:dyDescent="0.25">
      <c r="H177" s="14"/>
      <c r="I177" s="14"/>
      <c r="J177" s="14"/>
      <c r="K177" s="14"/>
      <c r="L177" s="14"/>
      <c r="M177" s="14"/>
      <c r="N177" s="14"/>
      <c r="O177" s="14"/>
    </row>
    <row r="178" spans="8:15" x14ac:dyDescent="0.25">
      <c r="H178" s="14"/>
      <c r="I178" s="14"/>
      <c r="J178" s="14"/>
      <c r="K178" s="14"/>
      <c r="L178" s="14"/>
      <c r="M178" s="14"/>
      <c r="N178" s="14"/>
      <c r="O178" s="14"/>
    </row>
  </sheetData>
  <mergeCells count="22">
    <mergeCell ref="B5:O5"/>
    <mergeCell ref="A6:O6"/>
    <mergeCell ref="D7:O7"/>
    <mergeCell ref="A9:A12"/>
    <mergeCell ref="B9:B12"/>
    <mergeCell ref="C9:C12"/>
    <mergeCell ref="D9:D12"/>
    <mergeCell ref="E9:G9"/>
    <mergeCell ref="H9:N9"/>
    <mergeCell ref="O9:O12"/>
    <mergeCell ref="E10:E12"/>
    <mergeCell ref="F10:G10"/>
    <mergeCell ref="H10:H12"/>
    <mergeCell ref="I10:I12"/>
    <mergeCell ref="J10:K10"/>
    <mergeCell ref="M10:N10"/>
    <mergeCell ref="F11:F12"/>
    <mergeCell ref="G11:G12"/>
    <mergeCell ref="J11:J12"/>
    <mergeCell ref="K11:K12"/>
    <mergeCell ref="M11:M12"/>
    <mergeCell ref="L10:L1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5"/>
  <sheetViews>
    <sheetView view="pageBreakPreview" zoomScale="70" zoomScaleNormal="90" zoomScaleSheetLayoutView="70" workbookViewId="0">
      <pane xSplit="4" ySplit="10" topLeftCell="E168" activePane="bottomRight" state="frozen"/>
      <selection pane="topRight" activeCell="E1" sqref="E1"/>
      <selection pane="bottomLeft" activeCell="A13" sqref="A13"/>
      <selection pane="bottomRight" activeCell="D50" sqref="D50"/>
    </sheetView>
  </sheetViews>
  <sheetFormatPr defaultRowHeight="15" x14ac:dyDescent="0.25"/>
  <cols>
    <col min="1" max="1" width="11" style="6" customWidth="1"/>
    <col min="2" max="2" width="9.140625" style="6"/>
    <col min="3" max="3" width="18.42578125" style="6" customWidth="1"/>
    <col min="4" max="4" width="47" style="4" customWidth="1"/>
    <col min="5" max="5" width="18.7109375" style="4" customWidth="1"/>
    <col min="6" max="6" width="16.85546875" style="4" customWidth="1"/>
    <col min="7" max="7" width="14.85546875" style="4" customWidth="1"/>
    <col min="8" max="8" width="15.5703125" style="4" customWidth="1"/>
    <col min="9" max="9" width="15" style="4" customWidth="1"/>
    <col min="10" max="10" width="12.7109375" style="4" customWidth="1"/>
    <col min="11" max="11" width="11" style="4" customWidth="1"/>
    <col min="12" max="12" width="15.28515625" style="4" customWidth="1"/>
    <col min="13" max="13" width="16.28515625" style="4" customWidth="1"/>
    <col min="14" max="14" width="15.7109375" style="4" customWidth="1"/>
    <col min="15" max="15" width="17" style="4" customWidth="1"/>
    <col min="16" max="16" width="9.85546875" style="4" bestFit="1" customWidth="1"/>
    <col min="17" max="16384" width="9.140625" style="4"/>
  </cols>
  <sheetData>
    <row r="1" spans="1:15" x14ac:dyDescent="0.25">
      <c r="A1" s="1"/>
      <c r="B1" s="1"/>
      <c r="C1" s="1"/>
      <c r="D1" s="2"/>
      <c r="E1" s="3"/>
      <c r="F1" s="3"/>
      <c r="G1" s="3"/>
      <c r="H1" s="3"/>
      <c r="I1" s="3"/>
      <c r="J1" s="3"/>
      <c r="K1" s="3"/>
      <c r="L1" s="5" t="s">
        <v>353</v>
      </c>
      <c r="M1" s="3"/>
      <c r="N1" s="3"/>
      <c r="O1" s="3"/>
    </row>
    <row r="2" spans="1:15" x14ac:dyDescent="0.25">
      <c r="A2" s="1"/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388</v>
      </c>
      <c r="M2" s="5"/>
      <c r="N2" s="3"/>
      <c r="O2" s="3"/>
    </row>
    <row r="3" spans="1:15" x14ac:dyDescent="0.25">
      <c r="D3" s="2"/>
      <c r="E3" s="3"/>
      <c r="F3" s="3"/>
      <c r="G3" s="3"/>
      <c r="H3" s="3"/>
      <c r="I3" s="3"/>
      <c r="J3" s="3"/>
      <c r="K3" s="3"/>
      <c r="L3" s="33" t="s">
        <v>389</v>
      </c>
      <c r="M3" s="5"/>
      <c r="N3" s="3"/>
      <c r="O3" s="3"/>
    </row>
    <row r="4" spans="1:15" ht="48" customHeight="1" x14ac:dyDescent="0.25">
      <c r="A4" s="141" t="s">
        <v>330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</row>
    <row r="5" spans="1:15" x14ac:dyDescent="0.25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 t="s">
        <v>0</v>
      </c>
    </row>
    <row r="6" spans="1:15" ht="15" customHeight="1" x14ac:dyDescent="0.25">
      <c r="A6" s="136" t="s">
        <v>28</v>
      </c>
      <c r="B6" s="136" t="s">
        <v>29</v>
      </c>
      <c r="C6" s="139" t="s">
        <v>351</v>
      </c>
      <c r="D6" s="140" t="s">
        <v>31</v>
      </c>
      <c r="E6" s="132" t="s">
        <v>1</v>
      </c>
      <c r="F6" s="132"/>
      <c r="G6" s="132"/>
      <c r="H6" s="132" t="s">
        <v>6</v>
      </c>
      <c r="I6" s="132"/>
      <c r="J6" s="132"/>
      <c r="K6" s="132"/>
      <c r="L6" s="132"/>
      <c r="M6" s="132"/>
      <c r="N6" s="132"/>
      <c r="O6" s="132" t="s">
        <v>11</v>
      </c>
    </row>
    <row r="7" spans="1:15" x14ac:dyDescent="0.25">
      <c r="A7" s="137"/>
      <c r="B7" s="137"/>
      <c r="C7" s="139"/>
      <c r="D7" s="140"/>
      <c r="E7" s="132" t="s">
        <v>2</v>
      </c>
      <c r="F7" s="132" t="s">
        <v>3</v>
      </c>
      <c r="G7" s="132"/>
      <c r="H7" s="132" t="s">
        <v>2</v>
      </c>
      <c r="I7" s="132" t="s">
        <v>7</v>
      </c>
      <c r="J7" s="132" t="s">
        <v>3</v>
      </c>
      <c r="K7" s="132"/>
      <c r="L7" s="132" t="s">
        <v>8</v>
      </c>
      <c r="M7" s="132" t="s">
        <v>3</v>
      </c>
      <c r="N7" s="132"/>
      <c r="O7" s="132"/>
    </row>
    <row r="8" spans="1:15" ht="15" customHeight="1" x14ac:dyDescent="0.25">
      <c r="A8" s="137"/>
      <c r="B8" s="137"/>
      <c r="C8" s="139"/>
      <c r="D8" s="140"/>
      <c r="E8" s="132"/>
      <c r="F8" s="132" t="s">
        <v>4</v>
      </c>
      <c r="G8" s="132" t="s">
        <v>5</v>
      </c>
      <c r="H8" s="132"/>
      <c r="I8" s="132"/>
      <c r="J8" s="132" t="s">
        <v>4</v>
      </c>
      <c r="K8" s="132" t="s">
        <v>5</v>
      </c>
      <c r="L8" s="132"/>
      <c r="M8" s="132" t="s">
        <v>9</v>
      </c>
      <c r="N8" s="31" t="s">
        <v>3</v>
      </c>
      <c r="O8" s="132"/>
    </row>
    <row r="9" spans="1:15" ht="63" x14ac:dyDescent="0.25">
      <c r="A9" s="138"/>
      <c r="B9" s="138"/>
      <c r="C9" s="139"/>
      <c r="D9" s="140"/>
      <c r="E9" s="132"/>
      <c r="F9" s="132"/>
      <c r="G9" s="132"/>
      <c r="H9" s="132"/>
      <c r="I9" s="132"/>
      <c r="J9" s="132"/>
      <c r="K9" s="132"/>
      <c r="L9" s="132"/>
      <c r="M9" s="132"/>
      <c r="N9" s="9" t="s">
        <v>10</v>
      </c>
      <c r="O9" s="132"/>
    </row>
    <row r="10" spans="1:15" x14ac:dyDescent="0.25">
      <c r="A10" s="10">
        <v>1</v>
      </c>
      <c r="B10" s="10">
        <v>2</v>
      </c>
      <c r="C10" s="10">
        <v>3</v>
      </c>
      <c r="D10" s="31">
        <v>4</v>
      </c>
      <c r="E10" s="31">
        <v>5</v>
      </c>
      <c r="F10" s="31">
        <v>6</v>
      </c>
      <c r="G10" s="31">
        <v>7</v>
      </c>
      <c r="H10" s="31">
        <v>8</v>
      </c>
      <c r="I10" s="31">
        <v>9</v>
      </c>
      <c r="J10" s="31">
        <v>10</v>
      </c>
      <c r="K10" s="31">
        <v>11</v>
      </c>
      <c r="L10" s="31">
        <v>12</v>
      </c>
      <c r="M10" s="31">
        <v>13</v>
      </c>
      <c r="N10" s="31">
        <v>14</v>
      </c>
      <c r="O10" s="31" t="s">
        <v>30</v>
      </c>
    </row>
    <row r="11" spans="1:15" s="13" customFormat="1" ht="31.5" x14ac:dyDescent="0.25">
      <c r="A11" s="25" t="s">
        <v>137</v>
      </c>
      <c r="B11" s="25"/>
      <c r="C11" s="25"/>
      <c r="D11" s="26" t="s">
        <v>25</v>
      </c>
      <c r="E11" s="75">
        <f>E12</f>
        <v>4748.3999999999996</v>
      </c>
      <c r="F11" s="75">
        <f t="shared" ref="F11:N11" si="0">F12</f>
        <v>0</v>
      </c>
      <c r="G11" s="75">
        <f t="shared" si="0"/>
        <v>0</v>
      </c>
      <c r="H11" s="75">
        <f t="shared" si="0"/>
        <v>1491.38786</v>
      </c>
      <c r="I11" s="75">
        <f t="shared" si="0"/>
        <v>0</v>
      </c>
      <c r="J11" s="75">
        <f t="shared" si="0"/>
        <v>0</v>
      </c>
      <c r="K11" s="75">
        <f t="shared" si="0"/>
        <v>0</v>
      </c>
      <c r="L11" s="75">
        <f t="shared" si="0"/>
        <v>1491.38786</v>
      </c>
      <c r="M11" s="75">
        <f t="shared" si="0"/>
        <v>1491.38786</v>
      </c>
      <c r="N11" s="75">
        <f t="shared" si="0"/>
        <v>1491.38786</v>
      </c>
      <c r="O11" s="41">
        <f t="shared" ref="O11:O21" si="1">E11+H11</f>
        <v>6239.7878599999995</v>
      </c>
    </row>
    <row r="12" spans="1:15" ht="31.5" x14ac:dyDescent="0.25">
      <c r="A12" s="25" t="s">
        <v>138</v>
      </c>
      <c r="B12" s="19"/>
      <c r="C12" s="19"/>
      <c r="D12" s="26" t="s">
        <v>25</v>
      </c>
      <c r="E12" s="41">
        <f>E13+E14+E15+E16+E21+E22+E23+E24+E26+E27+E28+E29+E31+E32+E30+E25</f>
        <v>4748.3999999999996</v>
      </c>
      <c r="F12" s="41">
        <f>F13+F14+F15+F16+F21+F24+F26+F27+F28+F29+F31+F32+F30</f>
        <v>0</v>
      </c>
      <c r="G12" s="41">
        <f>G13+G14+G15+G16+G21+G24+G26+G27+G28+G29+G31+G32+G30</f>
        <v>0</v>
      </c>
      <c r="H12" s="41">
        <f>I12+L12</f>
        <v>1491.38786</v>
      </c>
      <c r="I12" s="41">
        <f t="shared" ref="I12:N12" si="2">I13+I14+I15+I16+I21+I24+I26+I27+I28+I29+I31+I32+I30+I25</f>
        <v>0</v>
      </c>
      <c r="J12" s="41">
        <f t="shared" si="2"/>
        <v>0</v>
      </c>
      <c r="K12" s="41">
        <f t="shared" si="2"/>
        <v>0</v>
      </c>
      <c r="L12" s="41">
        <f t="shared" si="2"/>
        <v>1491.38786</v>
      </c>
      <c r="M12" s="41">
        <f t="shared" si="2"/>
        <v>1491.38786</v>
      </c>
      <c r="N12" s="41">
        <f t="shared" si="2"/>
        <v>1491.38786</v>
      </c>
      <c r="O12" s="41">
        <f t="shared" si="1"/>
        <v>6239.7878599999995</v>
      </c>
    </row>
    <row r="13" spans="1:15" s="29" customFormat="1" ht="78.75" hidden="1" x14ac:dyDescent="0.25">
      <c r="A13" s="19" t="s">
        <v>139</v>
      </c>
      <c r="B13" s="19" t="s">
        <v>117</v>
      </c>
      <c r="C13" s="19" t="s">
        <v>32</v>
      </c>
      <c r="D13" s="18" t="s">
        <v>118</v>
      </c>
      <c r="E13" s="24"/>
      <c r="F13" s="24"/>
      <c r="G13" s="24"/>
      <c r="H13" s="24">
        <f>I13+L13</f>
        <v>0</v>
      </c>
      <c r="I13" s="24"/>
      <c r="J13" s="24"/>
      <c r="K13" s="24"/>
      <c r="L13" s="24"/>
      <c r="M13" s="24"/>
      <c r="N13" s="24"/>
      <c r="O13" s="24">
        <f t="shared" si="1"/>
        <v>0</v>
      </c>
    </row>
    <row r="14" spans="1:15" s="29" customFormat="1" ht="32.25" hidden="1" customHeight="1" x14ac:dyDescent="0.25">
      <c r="A14" s="19" t="s">
        <v>237</v>
      </c>
      <c r="B14" s="19" t="s">
        <v>238</v>
      </c>
      <c r="C14" s="19" t="s">
        <v>239</v>
      </c>
      <c r="D14" s="18" t="s">
        <v>240</v>
      </c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>
        <f t="shared" si="1"/>
        <v>0</v>
      </c>
    </row>
    <row r="15" spans="1:15" s="29" customFormat="1" ht="33" customHeight="1" x14ac:dyDescent="0.25">
      <c r="A15" s="19" t="s">
        <v>247</v>
      </c>
      <c r="B15" s="19" t="s">
        <v>41</v>
      </c>
      <c r="C15" s="19" t="s">
        <v>37</v>
      </c>
      <c r="D15" s="23" t="s">
        <v>248</v>
      </c>
      <c r="E15" s="24">
        <v>186</v>
      </c>
      <c r="F15" s="24"/>
      <c r="G15" s="24"/>
      <c r="H15" s="24"/>
      <c r="I15" s="24"/>
      <c r="J15" s="24"/>
      <c r="K15" s="24"/>
      <c r="L15" s="24"/>
      <c r="M15" s="24"/>
      <c r="N15" s="24"/>
      <c r="O15" s="24">
        <f t="shared" si="1"/>
        <v>186</v>
      </c>
    </row>
    <row r="16" spans="1:15" s="29" customFormat="1" ht="33.75" customHeight="1" x14ac:dyDescent="0.25">
      <c r="A16" s="19" t="s">
        <v>140</v>
      </c>
      <c r="B16" s="19" t="s">
        <v>69</v>
      </c>
      <c r="C16" s="19" t="s">
        <v>70</v>
      </c>
      <c r="D16" s="12" t="s">
        <v>344</v>
      </c>
      <c r="E16" s="24">
        <f>3612.4+100+100</f>
        <v>3812.4</v>
      </c>
      <c r="F16" s="24"/>
      <c r="G16" s="24"/>
      <c r="H16" s="24">
        <f>I16+L16</f>
        <v>1481.98786</v>
      </c>
      <c r="I16" s="24"/>
      <c r="J16" s="24"/>
      <c r="K16" s="24"/>
      <c r="L16" s="24">
        <f>1331.5615+150.42636</f>
        <v>1481.98786</v>
      </c>
      <c r="M16" s="24">
        <f>1331.5615+150.42636</f>
        <v>1481.98786</v>
      </c>
      <c r="N16" s="24">
        <f>1331.5615+150.42636</f>
        <v>1481.98786</v>
      </c>
      <c r="O16" s="24">
        <f t="shared" si="1"/>
        <v>5294.3878599999998</v>
      </c>
    </row>
    <row r="17" spans="1:15" s="37" customFormat="1" ht="36.75" customHeight="1" x14ac:dyDescent="0.25">
      <c r="A17" s="35"/>
      <c r="B17" s="35"/>
      <c r="C17" s="35"/>
      <c r="D17" s="36" t="s">
        <v>377</v>
      </c>
      <c r="E17" s="76">
        <f>E19+E20</f>
        <v>58285.8</v>
      </c>
      <c r="F17" s="76"/>
      <c r="G17" s="76"/>
      <c r="H17" s="76">
        <f>I17+L17</f>
        <v>0</v>
      </c>
      <c r="I17" s="76"/>
      <c r="J17" s="76"/>
      <c r="K17" s="76"/>
      <c r="L17" s="76"/>
      <c r="M17" s="76"/>
      <c r="N17" s="76"/>
      <c r="O17" s="24">
        <f t="shared" si="1"/>
        <v>58285.8</v>
      </c>
    </row>
    <row r="18" spans="1:15" s="37" customFormat="1" ht="14.25" customHeight="1" x14ac:dyDescent="0.25">
      <c r="A18" s="35"/>
      <c r="B18" s="35"/>
      <c r="C18" s="35"/>
      <c r="D18" s="36" t="s">
        <v>378</v>
      </c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24"/>
    </row>
    <row r="19" spans="1:15" s="37" customFormat="1" ht="18" customHeight="1" x14ac:dyDescent="0.25">
      <c r="A19" s="35"/>
      <c r="B19" s="35"/>
      <c r="C19" s="35"/>
      <c r="D19" s="36" t="s">
        <v>345</v>
      </c>
      <c r="E19" s="76">
        <f>9753.2</f>
        <v>9753.2000000000007</v>
      </c>
      <c r="F19" s="76"/>
      <c r="G19" s="76"/>
      <c r="H19" s="76">
        <f>I19+L19</f>
        <v>0</v>
      </c>
      <c r="I19" s="76"/>
      <c r="J19" s="76"/>
      <c r="K19" s="76"/>
      <c r="L19" s="76"/>
      <c r="M19" s="76"/>
      <c r="N19" s="76"/>
      <c r="O19" s="24">
        <f t="shared" si="1"/>
        <v>9753.2000000000007</v>
      </c>
    </row>
    <row r="20" spans="1:15" s="37" customFormat="1" ht="16.5" customHeight="1" x14ac:dyDescent="0.25">
      <c r="A20" s="35"/>
      <c r="B20" s="35"/>
      <c r="C20" s="35"/>
      <c r="D20" s="36" t="s">
        <v>346</v>
      </c>
      <c r="E20" s="76">
        <v>48532.6</v>
      </c>
      <c r="F20" s="76"/>
      <c r="G20" s="76"/>
      <c r="H20" s="76">
        <f>I20+L20</f>
        <v>0</v>
      </c>
      <c r="I20" s="76"/>
      <c r="J20" s="76"/>
      <c r="K20" s="76"/>
      <c r="L20" s="76"/>
      <c r="M20" s="76"/>
      <c r="N20" s="76"/>
      <c r="O20" s="24">
        <f t="shared" si="1"/>
        <v>48532.6</v>
      </c>
    </row>
    <row r="21" spans="1:15" s="29" customFormat="1" ht="21.75" hidden="1" customHeight="1" x14ac:dyDescent="0.25">
      <c r="A21" s="19" t="s">
        <v>141</v>
      </c>
      <c r="B21" s="19" t="s">
        <v>119</v>
      </c>
      <c r="C21" s="19" t="s">
        <v>71</v>
      </c>
      <c r="D21" s="12" t="s">
        <v>120</v>
      </c>
      <c r="E21" s="24"/>
      <c r="F21" s="24"/>
      <c r="G21" s="24"/>
      <c r="H21" s="24">
        <f>I21+L21</f>
        <v>0</v>
      </c>
      <c r="I21" s="24"/>
      <c r="J21" s="24"/>
      <c r="K21" s="24"/>
      <c r="L21" s="24"/>
      <c r="M21" s="24"/>
      <c r="N21" s="24"/>
      <c r="O21" s="24">
        <f t="shared" si="1"/>
        <v>0</v>
      </c>
    </row>
    <row r="22" spans="1:15" s="29" customFormat="1" ht="37.5" hidden="1" customHeight="1" x14ac:dyDescent="0.25">
      <c r="A22" s="19" t="s">
        <v>281</v>
      </c>
      <c r="B22" s="19" t="s">
        <v>276</v>
      </c>
      <c r="C22" s="19" t="s">
        <v>277</v>
      </c>
      <c r="D22" s="12" t="s">
        <v>278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>
        <f>E22+H22</f>
        <v>0</v>
      </c>
    </row>
    <row r="23" spans="1:15" s="29" customFormat="1" ht="36" hidden="1" customHeight="1" x14ac:dyDescent="0.25">
      <c r="A23" s="19" t="s">
        <v>282</v>
      </c>
      <c r="B23" s="19" t="s">
        <v>279</v>
      </c>
      <c r="C23" s="19" t="s">
        <v>277</v>
      </c>
      <c r="D23" s="12" t="s">
        <v>280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>
        <f>E23+H23</f>
        <v>0</v>
      </c>
    </row>
    <row r="24" spans="1:15" s="29" customFormat="1" ht="31.5" hidden="1" x14ac:dyDescent="0.25">
      <c r="A24" s="19" t="s">
        <v>320</v>
      </c>
      <c r="B24" s="19" t="s">
        <v>318</v>
      </c>
      <c r="C24" s="19" t="s">
        <v>33</v>
      </c>
      <c r="D24" s="18" t="s">
        <v>319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>
        <f t="shared" ref="O24:O85" si="3">E24+H24</f>
        <v>0</v>
      </c>
    </row>
    <row r="25" spans="1:15" s="29" customFormat="1" ht="31.5" x14ac:dyDescent="0.25">
      <c r="A25" s="19" t="s">
        <v>343</v>
      </c>
      <c r="B25" s="19" t="s">
        <v>263</v>
      </c>
      <c r="C25" s="19" t="s">
        <v>265</v>
      </c>
      <c r="D25" s="18" t="s">
        <v>266</v>
      </c>
      <c r="E25" s="24">
        <v>750</v>
      </c>
      <c r="F25" s="24"/>
      <c r="G25" s="24"/>
      <c r="H25" s="24">
        <f>I25+L25</f>
        <v>9.4</v>
      </c>
      <c r="I25" s="24"/>
      <c r="J25" s="24"/>
      <c r="K25" s="24"/>
      <c r="L25" s="24">
        <v>9.4</v>
      </c>
      <c r="M25" s="24">
        <v>9.4</v>
      </c>
      <c r="N25" s="24">
        <v>9.4</v>
      </c>
      <c r="O25" s="24">
        <f t="shared" si="3"/>
        <v>759.4</v>
      </c>
    </row>
    <row r="26" spans="1:15" s="29" customFormat="1" ht="31.5" hidden="1" x14ac:dyDescent="0.25">
      <c r="A26" s="19" t="s">
        <v>245</v>
      </c>
      <c r="B26" s="19" t="s">
        <v>244</v>
      </c>
      <c r="C26" s="19" t="s">
        <v>35</v>
      </c>
      <c r="D26" s="18" t="s">
        <v>246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>
        <f t="shared" si="3"/>
        <v>0</v>
      </c>
    </row>
    <row r="27" spans="1:15" s="29" customFormat="1" ht="15.75" hidden="1" x14ac:dyDescent="0.25">
      <c r="A27" s="19" t="s">
        <v>197</v>
      </c>
      <c r="B27" s="19" t="s">
        <v>196</v>
      </c>
      <c r="C27" s="19" t="s">
        <v>38</v>
      </c>
      <c r="D27" s="12" t="s">
        <v>39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>
        <f t="shared" si="3"/>
        <v>0</v>
      </c>
    </row>
    <row r="28" spans="1:15" s="29" customFormat="1" ht="31.5" hidden="1" x14ac:dyDescent="0.25">
      <c r="A28" s="19" t="s">
        <v>242</v>
      </c>
      <c r="B28" s="19" t="s">
        <v>241</v>
      </c>
      <c r="C28" s="19" t="s">
        <v>58</v>
      </c>
      <c r="D28" s="12" t="s">
        <v>243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>
        <f t="shared" si="3"/>
        <v>0</v>
      </c>
    </row>
    <row r="29" spans="1:15" s="29" customFormat="1" ht="31.5" hidden="1" x14ac:dyDescent="0.25">
      <c r="A29" s="19" t="s">
        <v>297</v>
      </c>
      <c r="B29" s="19" t="s">
        <v>296</v>
      </c>
      <c r="C29" s="19" t="s">
        <v>58</v>
      </c>
      <c r="D29" s="18" t="s">
        <v>298</v>
      </c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>
        <f t="shared" si="3"/>
        <v>0</v>
      </c>
    </row>
    <row r="30" spans="1:15" s="29" customFormat="1" ht="47.25" hidden="1" x14ac:dyDescent="0.25">
      <c r="A30" s="19" t="s">
        <v>195</v>
      </c>
      <c r="B30" s="19" t="s">
        <v>194</v>
      </c>
      <c r="C30" s="19" t="s">
        <v>36</v>
      </c>
      <c r="D30" s="12" t="s">
        <v>299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>
        <f t="shared" si="3"/>
        <v>0</v>
      </c>
    </row>
    <row r="31" spans="1:15" s="29" customFormat="1" ht="31.5" hidden="1" x14ac:dyDescent="0.25">
      <c r="A31" s="19" t="s">
        <v>275</v>
      </c>
      <c r="B31" s="19" t="s">
        <v>274</v>
      </c>
      <c r="C31" s="19" t="s">
        <v>101</v>
      </c>
      <c r="D31" s="18" t="s">
        <v>295</v>
      </c>
      <c r="E31" s="24"/>
      <c r="F31" s="24"/>
      <c r="G31" s="24"/>
      <c r="H31" s="24">
        <f>I31+L31</f>
        <v>0</v>
      </c>
      <c r="I31" s="24"/>
      <c r="J31" s="24"/>
      <c r="K31" s="24"/>
      <c r="L31" s="24"/>
      <c r="M31" s="24"/>
      <c r="N31" s="24"/>
      <c r="O31" s="24">
        <f t="shared" si="3"/>
        <v>0</v>
      </c>
    </row>
    <row r="32" spans="1:15" s="29" customFormat="1" ht="31.5" hidden="1" x14ac:dyDescent="0.25">
      <c r="A32" s="19" t="s">
        <v>192</v>
      </c>
      <c r="B32" s="19" t="s">
        <v>191</v>
      </c>
      <c r="C32" s="19" t="s">
        <v>34</v>
      </c>
      <c r="D32" s="18" t="s">
        <v>193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>
        <f t="shared" si="3"/>
        <v>0</v>
      </c>
    </row>
    <row r="33" spans="1:15" s="30" customFormat="1" ht="47.25" hidden="1" x14ac:dyDescent="0.25">
      <c r="A33" s="25" t="s">
        <v>137</v>
      </c>
      <c r="B33" s="25"/>
      <c r="C33" s="25"/>
      <c r="D33" s="26" t="s">
        <v>251</v>
      </c>
      <c r="E33" s="41">
        <f>E34</f>
        <v>0</v>
      </c>
      <c r="F33" s="41">
        <f t="shared" ref="F33:N33" si="4">F34</f>
        <v>0</v>
      </c>
      <c r="G33" s="41">
        <f t="shared" si="4"/>
        <v>0</v>
      </c>
      <c r="H33" s="41">
        <f t="shared" si="4"/>
        <v>0</v>
      </c>
      <c r="I33" s="41">
        <f t="shared" si="4"/>
        <v>0</v>
      </c>
      <c r="J33" s="41"/>
      <c r="K33" s="41"/>
      <c r="L33" s="41">
        <f t="shared" si="4"/>
        <v>0</v>
      </c>
      <c r="M33" s="41">
        <f t="shared" si="4"/>
        <v>0</v>
      </c>
      <c r="N33" s="41">
        <f t="shared" si="4"/>
        <v>0</v>
      </c>
      <c r="O33" s="41">
        <f t="shared" si="3"/>
        <v>0</v>
      </c>
    </row>
    <row r="34" spans="1:15" s="29" customFormat="1" ht="47.25" hidden="1" x14ac:dyDescent="0.25">
      <c r="A34" s="25" t="s">
        <v>138</v>
      </c>
      <c r="B34" s="19"/>
      <c r="C34" s="19"/>
      <c r="D34" s="26" t="s">
        <v>251</v>
      </c>
      <c r="E34" s="41">
        <f>E35+E36</f>
        <v>0</v>
      </c>
      <c r="F34" s="41">
        <f>F35+F36</f>
        <v>0</v>
      </c>
      <c r="G34" s="41">
        <f>G35+G36</f>
        <v>0</v>
      </c>
      <c r="H34" s="41">
        <f>I34+L34</f>
        <v>0</v>
      </c>
      <c r="I34" s="41">
        <f>I35+I36</f>
        <v>0</v>
      </c>
      <c r="J34" s="41"/>
      <c r="K34" s="41"/>
      <c r="L34" s="41">
        <f>L35+L36</f>
        <v>0</v>
      </c>
      <c r="M34" s="41">
        <f>M35+M36</f>
        <v>0</v>
      </c>
      <c r="N34" s="41">
        <f>N35+N36</f>
        <v>0</v>
      </c>
      <c r="O34" s="41">
        <f t="shared" si="3"/>
        <v>0</v>
      </c>
    </row>
    <row r="35" spans="1:15" s="29" customFormat="1" ht="78.75" hidden="1" x14ac:dyDescent="0.25">
      <c r="A35" s="19" t="s">
        <v>139</v>
      </c>
      <c r="B35" s="19" t="s">
        <v>117</v>
      </c>
      <c r="C35" s="19" t="s">
        <v>32</v>
      </c>
      <c r="D35" s="18" t="s">
        <v>118</v>
      </c>
      <c r="E35" s="24"/>
      <c r="F35" s="24"/>
      <c r="G35" s="24"/>
      <c r="H35" s="24">
        <f>I35+L35</f>
        <v>0</v>
      </c>
      <c r="I35" s="24"/>
      <c r="J35" s="24"/>
      <c r="K35" s="24"/>
      <c r="L35" s="24"/>
      <c r="M35" s="24"/>
      <c r="N35" s="24"/>
      <c r="O35" s="24">
        <f t="shared" si="3"/>
        <v>0</v>
      </c>
    </row>
    <row r="36" spans="1:15" s="29" customFormat="1" ht="15.75" hidden="1" x14ac:dyDescent="0.25">
      <c r="A36" s="19" t="s">
        <v>142</v>
      </c>
      <c r="B36" s="19" t="s">
        <v>99</v>
      </c>
      <c r="C36" s="19" t="s">
        <v>40</v>
      </c>
      <c r="D36" s="18" t="s">
        <v>121</v>
      </c>
      <c r="E36" s="24"/>
      <c r="F36" s="24"/>
      <c r="G36" s="24"/>
      <c r="H36" s="24">
        <f>I36+L36</f>
        <v>0</v>
      </c>
      <c r="I36" s="24"/>
      <c r="J36" s="24"/>
      <c r="K36" s="24"/>
      <c r="L36" s="24"/>
      <c r="M36" s="24"/>
      <c r="N36" s="24"/>
      <c r="O36" s="24">
        <f t="shared" si="3"/>
        <v>0</v>
      </c>
    </row>
    <row r="37" spans="1:15" s="30" customFormat="1" ht="47.25" x14ac:dyDescent="0.25">
      <c r="A37" s="25" t="s">
        <v>137</v>
      </c>
      <c r="B37" s="25"/>
      <c r="C37" s="25"/>
      <c r="D37" s="26" t="s">
        <v>17</v>
      </c>
      <c r="E37" s="41">
        <f>E38</f>
        <v>0</v>
      </c>
      <c r="F37" s="41">
        <f>F38</f>
        <v>0</v>
      </c>
      <c r="G37" s="41">
        <f>G38</f>
        <v>0</v>
      </c>
      <c r="H37" s="41">
        <f t="shared" ref="H37:N37" si="5">H38</f>
        <v>17</v>
      </c>
      <c r="I37" s="41">
        <f t="shared" si="5"/>
        <v>0</v>
      </c>
      <c r="J37" s="41">
        <f t="shared" si="5"/>
        <v>0</v>
      </c>
      <c r="K37" s="41">
        <f t="shared" si="5"/>
        <v>0</v>
      </c>
      <c r="L37" s="41">
        <f t="shared" si="5"/>
        <v>17</v>
      </c>
      <c r="M37" s="41">
        <f t="shared" si="5"/>
        <v>17</v>
      </c>
      <c r="N37" s="41">
        <f t="shared" si="5"/>
        <v>17</v>
      </c>
      <c r="O37" s="41">
        <f t="shared" si="3"/>
        <v>17</v>
      </c>
    </row>
    <row r="38" spans="1:15" s="30" customFormat="1" ht="47.25" x14ac:dyDescent="0.25">
      <c r="A38" s="25" t="s">
        <v>138</v>
      </c>
      <c r="B38" s="25"/>
      <c r="C38" s="25"/>
      <c r="D38" s="26" t="s">
        <v>17</v>
      </c>
      <c r="E38" s="41">
        <f>E39+E40</f>
        <v>0</v>
      </c>
      <c r="F38" s="41">
        <f>F39+F40</f>
        <v>0</v>
      </c>
      <c r="G38" s="41">
        <f>G39+G40</f>
        <v>0</v>
      </c>
      <c r="H38" s="41">
        <f t="shared" ref="H38:N38" si="6">H39+H40</f>
        <v>17</v>
      </c>
      <c r="I38" s="41">
        <f t="shared" si="6"/>
        <v>0</v>
      </c>
      <c r="J38" s="41">
        <f t="shared" si="6"/>
        <v>0</v>
      </c>
      <c r="K38" s="41">
        <f t="shared" si="6"/>
        <v>0</v>
      </c>
      <c r="L38" s="41">
        <f t="shared" si="6"/>
        <v>17</v>
      </c>
      <c r="M38" s="41">
        <f t="shared" si="6"/>
        <v>17</v>
      </c>
      <c r="N38" s="41">
        <f t="shared" si="6"/>
        <v>17</v>
      </c>
      <c r="O38" s="41">
        <f t="shared" si="3"/>
        <v>17</v>
      </c>
    </row>
    <row r="39" spans="1:15" s="29" customFormat="1" ht="78.75" x14ac:dyDescent="0.25">
      <c r="A39" s="19" t="s">
        <v>139</v>
      </c>
      <c r="B39" s="19" t="s">
        <v>117</v>
      </c>
      <c r="C39" s="19" t="s">
        <v>32</v>
      </c>
      <c r="D39" s="18" t="s">
        <v>118</v>
      </c>
      <c r="E39" s="24"/>
      <c r="F39" s="24"/>
      <c r="G39" s="24"/>
      <c r="H39" s="24">
        <f>I39+L39</f>
        <v>17</v>
      </c>
      <c r="I39" s="24"/>
      <c r="J39" s="24"/>
      <c r="K39" s="24"/>
      <c r="L39" s="24">
        <v>17</v>
      </c>
      <c r="M39" s="24">
        <v>17</v>
      </c>
      <c r="N39" s="24">
        <v>17</v>
      </c>
      <c r="O39" s="24">
        <f t="shared" si="3"/>
        <v>17</v>
      </c>
    </row>
    <row r="40" spans="1:15" s="29" customFormat="1" ht="15.75" hidden="1" x14ac:dyDescent="0.25">
      <c r="A40" s="19" t="s">
        <v>142</v>
      </c>
      <c r="B40" s="19" t="s">
        <v>99</v>
      </c>
      <c r="C40" s="19" t="s">
        <v>40</v>
      </c>
      <c r="D40" s="18" t="s">
        <v>121</v>
      </c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>
        <f t="shared" si="3"/>
        <v>0</v>
      </c>
    </row>
    <row r="41" spans="1:15" s="30" customFormat="1" ht="47.25" hidden="1" x14ac:dyDescent="0.25">
      <c r="A41" s="25" t="s">
        <v>137</v>
      </c>
      <c r="B41" s="25"/>
      <c r="C41" s="25"/>
      <c r="D41" s="26" t="s">
        <v>19</v>
      </c>
      <c r="E41" s="41">
        <f t="shared" ref="E41:N41" si="7">E42</f>
        <v>0</v>
      </c>
      <c r="F41" s="41">
        <f t="shared" si="7"/>
        <v>0</v>
      </c>
      <c r="G41" s="41">
        <f t="shared" si="7"/>
        <v>0</v>
      </c>
      <c r="H41" s="41">
        <f t="shared" si="7"/>
        <v>0</v>
      </c>
      <c r="I41" s="41">
        <f t="shared" si="7"/>
        <v>0</v>
      </c>
      <c r="J41" s="41">
        <f t="shared" si="7"/>
        <v>0</v>
      </c>
      <c r="K41" s="41">
        <f t="shared" si="7"/>
        <v>0</v>
      </c>
      <c r="L41" s="41">
        <f t="shared" si="7"/>
        <v>0</v>
      </c>
      <c r="M41" s="41">
        <f t="shared" si="7"/>
        <v>0</v>
      </c>
      <c r="N41" s="41">
        <f t="shared" si="7"/>
        <v>0</v>
      </c>
      <c r="O41" s="41">
        <f t="shared" si="3"/>
        <v>0</v>
      </c>
    </row>
    <row r="42" spans="1:15" s="30" customFormat="1" ht="47.25" hidden="1" x14ac:dyDescent="0.25">
      <c r="A42" s="25" t="s">
        <v>138</v>
      </c>
      <c r="B42" s="25"/>
      <c r="C42" s="25"/>
      <c r="D42" s="26" t="s">
        <v>19</v>
      </c>
      <c r="E42" s="41">
        <f>E43+E44</f>
        <v>0</v>
      </c>
      <c r="F42" s="41">
        <f>F43</f>
        <v>0</v>
      </c>
      <c r="G42" s="41">
        <f>G43</f>
        <v>0</v>
      </c>
      <c r="H42" s="41">
        <f>H43+H44</f>
        <v>0</v>
      </c>
      <c r="I42" s="41">
        <f t="shared" ref="I42:N42" si="8">I43+I44</f>
        <v>0</v>
      </c>
      <c r="J42" s="41">
        <f t="shared" si="8"/>
        <v>0</v>
      </c>
      <c r="K42" s="41">
        <f t="shared" si="8"/>
        <v>0</v>
      </c>
      <c r="L42" s="41">
        <f t="shared" si="8"/>
        <v>0</v>
      </c>
      <c r="M42" s="41">
        <f t="shared" si="8"/>
        <v>0</v>
      </c>
      <c r="N42" s="41">
        <f t="shared" si="8"/>
        <v>0</v>
      </c>
      <c r="O42" s="41">
        <f t="shared" si="3"/>
        <v>0</v>
      </c>
    </row>
    <row r="43" spans="1:15" s="29" customFormat="1" ht="78.75" hidden="1" x14ac:dyDescent="0.25">
      <c r="A43" s="19" t="s">
        <v>139</v>
      </c>
      <c r="B43" s="19" t="s">
        <v>117</v>
      </c>
      <c r="C43" s="19" t="s">
        <v>32</v>
      </c>
      <c r="D43" s="18" t="s">
        <v>118</v>
      </c>
      <c r="E43" s="24"/>
      <c r="F43" s="24"/>
      <c r="G43" s="24"/>
      <c r="H43" s="24">
        <f>I43+L43</f>
        <v>0</v>
      </c>
      <c r="I43" s="24"/>
      <c r="J43" s="24"/>
      <c r="K43" s="24"/>
      <c r="L43" s="24"/>
      <c r="M43" s="24"/>
      <c r="N43" s="24"/>
      <c r="O43" s="24">
        <f t="shared" si="3"/>
        <v>0</v>
      </c>
    </row>
    <row r="44" spans="1:15" s="29" customFormat="1" ht="15.75" hidden="1" x14ac:dyDescent="0.25">
      <c r="A44" s="19" t="s">
        <v>142</v>
      </c>
      <c r="B44" s="19" t="s">
        <v>99</v>
      </c>
      <c r="C44" s="19" t="s">
        <v>40</v>
      </c>
      <c r="D44" s="18" t="s">
        <v>121</v>
      </c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>
        <f t="shared" si="3"/>
        <v>0</v>
      </c>
    </row>
    <row r="45" spans="1:15" s="30" customFormat="1" ht="31.5" x14ac:dyDescent="0.25">
      <c r="A45" s="25" t="s">
        <v>122</v>
      </c>
      <c r="B45" s="25"/>
      <c r="C45" s="25"/>
      <c r="D45" s="26" t="s">
        <v>14</v>
      </c>
      <c r="E45" s="41">
        <f>E46</f>
        <v>898.72</v>
      </c>
      <c r="F45" s="41">
        <f t="shared" ref="F45:N45" si="9">F46</f>
        <v>0</v>
      </c>
      <c r="G45" s="41">
        <f t="shared" si="9"/>
        <v>0</v>
      </c>
      <c r="H45" s="41">
        <f t="shared" si="9"/>
        <v>4082.0665199999999</v>
      </c>
      <c r="I45" s="41">
        <f t="shared" si="9"/>
        <v>0</v>
      </c>
      <c r="J45" s="41">
        <f t="shared" si="9"/>
        <v>0</v>
      </c>
      <c r="K45" s="41">
        <f t="shared" si="9"/>
        <v>0</v>
      </c>
      <c r="L45" s="41">
        <f t="shared" si="9"/>
        <v>4082.0665199999999</v>
      </c>
      <c r="M45" s="41">
        <f t="shared" si="9"/>
        <v>4082.0665199999999</v>
      </c>
      <c r="N45" s="41">
        <f t="shared" si="9"/>
        <v>4082.0665199999999</v>
      </c>
      <c r="O45" s="41">
        <f t="shared" si="3"/>
        <v>4980.7865199999997</v>
      </c>
    </row>
    <row r="46" spans="1:15" s="29" customFormat="1" ht="29.25" customHeight="1" x14ac:dyDescent="0.25">
      <c r="A46" s="25" t="s">
        <v>123</v>
      </c>
      <c r="B46" s="19"/>
      <c r="C46" s="19"/>
      <c r="D46" s="26" t="s">
        <v>14</v>
      </c>
      <c r="E46" s="41">
        <f>E47+E48+E49+E52+E54+E57+E58+E59+E60+E61+E62+E63+E64</f>
        <v>898.72</v>
      </c>
      <c r="F46" s="41">
        <f>F47+F48+F49+F52+F54+F57+F58+F59+F60+F61+F62+F63+F64</f>
        <v>0</v>
      </c>
      <c r="G46" s="41">
        <f>G47+G48+G49+G52+G54+G57+G58+G59+G60+G61+G62+G63+G64</f>
        <v>0</v>
      </c>
      <c r="H46" s="41">
        <f>I46+L46</f>
        <v>4082.0665199999999</v>
      </c>
      <c r="I46" s="41">
        <f>I47+I48+I49+I52+I54+I57+I58+I59+I60+I61+I62+I63+I64</f>
        <v>0</v>
      </c>
      <c r="J46" s="41">
        <f>J47+J48+J49+J52+J54+J57+J58+J59+J60+J61+J62+J63+J64</f>
        <v>0</v>
      </c>
      <c r="K46" s="41">
        <f>K47+K48+K49+K52+K54+K57+K58+K59+K60+K61+K62+K63+K64</f>
        <v>0</v>
      </c>
      <c r="L46" s="41">
        <f>L47+L48+L49+L52+L54+L57+L58+L59+L60+L61+L62+L63+L64+L65</f>
        <v>4082.0665199999999</v>
      </c>
      <c r="M46" s="41">
        <f>M47+M48+M49+M52+M54+M57+M58+M59+M60+M61+M62+M63+M64+M65</f>
        <v>4082.0665199999999</v>
      </c>
      <c r="N46" s="41">
        <f>N47+N48+N49+N52+N54+N57+N58+N59+N60+N61+N62+N63+N64+N65</f>
        <v>4082.0665199999999</v>
      </c>
      <c r="O46" s="41">
        <f t="shared" si="3"/>
        <v>4980.7865199999997</v>
      </c>
    </row>
    <row r="47" spans="1:15" s="29" customFormat="1" ht="47.25" hidden="1" x14ac:dyDescent="0.25">
      <c r="A47" s="19" t="s">
        <v>125</v>
      </c>
      <c r="B47" s="19" t="s">
        <v>124</v>
      </c>
      <c r="C47" s="19" t="s">
        <v>32</v>
      </c>
      <c r="D47" s="27" t="s">
        <v>126</v>
      </c>
      <c r="E47" s="24"/>
      <c r="F47" s="24"/>
      <c r="G47" s="24"/>
      <c r="H47" s="24">
        <f t="shared" ref="H47:H65" si="10">I47+L47</f>
        <v>0</v>
      </c>
      <c r="I47" s="24"/>
      <c r="J47" s="24"/>
      <c r="K47" s="24"/>
      <c r="L47" s="24"/>
      <c r="M47" s="24"/>
      <c r="N47" s="24"/>
      <c r="O47" s="24">
        <f t="shared" si="3"/>
        <v>0</v>
      </c>
    </row>
    <row r="48" spans="1:15" s="29" customFormat="1" ht="15.75" x14ac:dyDescent="0.25">
      <c r="A48" s="19" t="s">
        <v>127</v>
      </c>
      <c r="B48" s="19" t="s">
        <v>42</v>
      </c>
      <c r="C48" s="19" t="s">
        <v>43</v>
      </c>
      <c r="D48" s="12" t="s">
        <v>128</v>
      </c>
      <c r="E48" s="77">
        <v>238.72</v>
      </c>
      <c r="F48" s="77"/>
      <c r="G48" s="77"/>
      <c r="H48" s="24">
        <f t="shared" si="10"/>
        <v>960</v>
      </c>
      <c r="I48" s="77"/>
      <c r="J48" s="77"/>
      <c r="K48" s="77"/>
      <c r="L48" s="77">
        <v>960</v>
      </c>
      <c r="M48" s="77">
        <v>960</v>
      </c>
      <c r="N48" s="77">
        <v>960</v>
      </c>
      <c r="O48" s="24">
        <f t="shared" si="3"/>
        <v>1198.72</v>
      </c>
    </row>
    <row r="49" spans="1:15" s="29" customFormat="1" ht="78.75" x14ac:dyDescent="0.25">
      <c r="A49" s="19" t="s">
        <v>129</v>
      </c>
      <c r="B49" s="19" t="s">
        <v>44</v>
      </c>
      <c r="C49" s="19" t="s">
        <v>45</v>
      </c>
      <c r="D49" s="27" t="s">
        <v>46</v>
      </c>
      <c r="E49" s="77">
        <f>60+300</f>
        <v>360</v>
      </c>
      <c r="F49" s="77"/>
      <c r="G49" s="77"/>
      <c r="H49" s="24">
        <f t="shared" si="10"/>
        <v>1300</v>
      </c>
      <c r="I49" s="77"/>
      <c r="J49" s="77"/>
      <c r="K49" s="77"/>
      <c r="L49" s="77">
        <v>1300</v>
      </c>
      <c r="M49" s="77">
        <v>1300</v>
      </c>
      <c r="N49" s="77">
        <v>1300</v>
      </c>
      <c r="O49" s="24">
        <f t="shared" si="3"/>
        <v>1660</v>
      </c>
    </row>
    <row r="50" spans="1:15" s="37" customFormat="1" ht="78.75" x14ac:dyDescent="0.25">
      <c r="A50" s="35"/>
      <c r="B50" s="35"/>
      <c r="C50" s="35"/>
      <c r="D50" s="79" t="s">
        <v>370</v>
      </c>
      <c r="E50" s="80">
        <v>300</v>
      </c>
      <c r="F50" s="80"/>
      <c r="G50" s="80"/>
      <c r="H50" s="76">
        <f>I50+L50</f>
        <v>700</v>
      </c>
      <c r="I50" s="80"/>
      <c r="J50" s="80"/>
      <c r="K50" s="80"/>
      <c r="L50" s="80">
        <v>700</v>
      </c>
      <c r="M50" s="80">
        <v>700</v>
      </c>
      <c r="N50" s="80">
        <v>700</v>
      </c>
      <c r="O50" s="76">
        <f>E50+H50</f>
        <v>1000</v>
      </c>
    </row>
    <row r="51" spans="1:15" s="29" customFormat="1" ht="63" hidden="1" x14ac:dyDescent="0.25">
      <c r="A51" s="19"/>
      <c r="B51" s="19"/>
      <c r="C51" s="19"/>
      <c r="D51" s="12" t="s">
        <v>26</v>
      </c>
      <c r="E51" s="77"/>
      <c r="F51" s="77"/>
      <c r="G51" s="77"/>
      <c r="H51" s="24">
        <f t="shared" si="10"/>
        <v>0</v>
      </c>
      <c r="I51" s="77"/>
      <c r="J51" s="77"/>
      <c r="K51" s="77"/>
      <c r="L51" s="77"/>
      <c r="M51" s="77"/>
      <c r="N51" s="77"/>
      <c r="O51" s="24">
        <f t="shared" si="3"/>
        <v>0</v>
      </c>
    </row>
    <row r="52" spans="1:15" s="29" customFormat="1" ht="31.5" hidden="1" x14ac:dyDescent="0.25">
      <c r="A52" s="19" t="s">
        <v>130</v>
      </c>
      <c r="B52" s="19" t="s">
        <v>47</v>
      </c>
      <c r="C52" s="19" t="s">
        <v>45</v>
      </c>
      <c r="D52" s="27" t="s">
        <v>48</v>
      </c>
      <c r="E52" s="77"/>
      <c r="F52" s="77"/>
      <c r="G52" s="77"/>
      <c r="H52" s="24">
        <f t="shared" si="10"/>
        <v>0</v>
      </c>
      <c r="I52" s="77"/>
      <c r="J52" s="77"/>
      <c r="K52" s="77"/>
      <c r="L52" s="77"/>
      <c r="M52" s="77"/>
      <c r="N52" s="77"/>
      <c r="O52" s="24">
        <f t="shared" si="3"/>
        <v>0</v>
      </c>
    </row>
    <row r="53" spans="1:15" s="29" customFormat="1" ht="63" hidden="1" x14ac:dyDescent="0.25">
      <c r="A53" s="19"/>
      <c r="B53" s="19"/>
      <c r="C53" s="19"/>
      <c r="D53" s="12" t="s">
        <v>26</v>
      </c>
      <c r="E53" s="77"/>
      <c r="F53" s="77"/>
      <c r="G53" s="77"/>
      <c r="H53" s="24">
        <f t="shared" si="10"/>
        <v>0</v>
      </c>
      <c r="I53" s="77"/>
      <c r="J53" s="77"/>
      <c r="K53" s="77"/>
      <c r="L53" s="77"/>
      <c r="M53" s="77"/>
      <c r="N53" s="77"/>
      <c r="O53" s="24">
        <f t="shared" si="3"/>
        <v>0</v>
      </c>
    </row>
    <row r="54" spans="1:15" s="29" customFormat="1" ht="94.5" x14ac:dyDescent="0.25">
      <c r="A54" s="19" t="s">
        <v>131</v>
      </c>
      <c r="B54" s="19" t="s">
        <v>76</v>
      </c>
      <c r="C54" s="19" t="s">
        <v>49</v>
      </c>
      <c r="D54" s="27" t="s">
        <v>107</v>
      </c>
      <c r="E54" s="77">
        <v>80</v>
      </c>
      <c r="F54" s="77"/>
      <c r="G54" s="77"/>
      <c r="H54" s="24">
        <f t="shared" si="10"/>
        <v>322.06652000000003</v>
      </c>
      <c r="I54" s="77"/>
      <c r="J54" s="77"/>
      <c r="K54" s="77"/>
      <c r="L54" s="77">
        <v>322.06652000000003</v>
      </c>
      <c r="M54" s="77">
        <v>322.06652000000003</v>
      </c>
      <c r="N54" s="77">
        <v>322.06652000000003</v>
      </c>
      <c r="O54" s="24">
        <f t="shared" si="3"/>
        <v>402.06652000000003</v>
      </c>
    </row>
    <row r="55" spans="1:15" s="37" customFormat="1" ht="78.75" x14ac:dyDescent="0.25">
      <c r="A55" s="35"/>
      <c r="B55" s="35"/>
      <c r="C55" s="35"/>
      <c r="D55" s="79" t="s">
        <v>370</v>
      </c>
      <c r="E55" s="80"/>
      <c r="F55" s="80"/>
      <c r="G55" s="80"/>
      <c r="H55" s="76">
        <f>I55+L55</f>
        <v>282.06652000000003</v>
      </c>
      <c r="I55" s="80"/>
      <c r="J55" s="80"/>
      <c r="K55" s="80"/>
      <c r="L55" s="80">
        <v>282.06652000000003</v>
      </c>
      <c r="M55" s="80">
        <v>282.06652000000003</v>
      </c>
      <c r="N55" s="80">
        <v>282.06652000000003</v>
      </c>
      <c r="O55" s="76">
        <f t="shared" si="3"/>
        <v>282.06652000000003</v>
      </c>
    </row>
    <row r="56" spans="1:15" s="29" customFormat="1" ht="63" hidden="1" x14ac:dyDescent="0.25">
      <c r="A56" s="19"/>
      <c r="B56" s="19"/>
      <c r="C56" s="19"/>
      <c r="D56" s="12" t="s">
        <v>26</v>
      </c>
      <c r="E56" s="77"/>
      <c r="F56" s="77"/>
      <c r="G56" s="77"/>
      <c r="H56" s="24">
        <f t="shared" si="10"/>
        <v>0</v>
      </c>
      <c r="I56" s="77"/>
      <c r="J56" s="77"/>
      <c r="K56" s="77"/>
      <c r="L56" s="77"/>
      <c r="M56" s="77"/>
      <c r="N56" s="77"/>
      <c r="O56" s="24">
        <f t="shared" si="3"/>
        <v>0</v>
      </c>
    </row>
    <row r="57" spans="1:15" s="29" customFormat="1" ht="47.25" x14ac:dyDescent="0.25">
      <c r="A57" s="19" t="s">
        <v>132</v>
      </c>
      <c r="B57" s="19" t="s">
        <v>33</v>
      </c>
      <c r="C57" s="19" t="s">
        <v>50</v>
      </c>
      <c r="D57" s="27" t="s">
        <v>51</v>
      </c>
      <c r="E57" s="77">
        <v>140</v>
      </c>
      <c r="F57" s="77"/>
      <c r="G57" s="77"/>
      <c r="H57" s="24">
        <f t="shared" si="10"/>
        <v>0</v>
      </c>
      <c r="I57" s="77"/>
      <c r="J57" s="77"/>
      <c r="K57" s="77"/>
      <c r="L57" s="77"/>
      <c r="M57" s="77"/>
      <c r="N57" s="77"/>
      <c r="O57" s="24">
        <f t="shared" si="3"/>
        <v>140</v>
      </c>
    </row>
    <row r="58" spans="1:15" s="29" customFormat="1" ht="31.5" hidden="1" x14ac:dyDescent="0.25">
      <c r="A58" s="19" t="s">
        <v>135</v>
      </c>
      <c r="B58" s="19" t="s">
        <v>133</v>
      </c>
      <c r="C58" s="19" t="s">
        <v>52</v>
      </c>
      <c r="D58" s="12" t="s">
        <v>134</v>
      </c>
      <c r="E58" s="77"/>
      <c r="F58" s="77"/>
      <c r="G58" s="77"/>
      <c r="H58" s="24">
        <f t="shared" si="10"/>
        <v>0</v>
      </c>
      <c r="I58" s="77"/>
      <c r="J58" s="77"/>
      <c r="K58" s="77"/>
      <c r="L58" s="77"/>
      <c r="M58" s="77"/>
      <c r="N58" s="77"/>
      <c r="O58" s="24">
        <f t="shared" si="3"/>
        <v>0</v>
      </c>
    </row>
    <row r="59" spans="1:15" s="29" customFormat="1" ht="31.5" hidden="1" x14ac:dyDescent="0.25">
      <c r="A59" s="19" t="s">
        <v>151</v>
      </c>
      <c r="B59" s="19" t="s">
        <v>150</v>
      </c>
      <c r="C59" s="19" t="s">
        <v>53</v>
      </c>
      <c r="D59" s="27" t="s">
        <v>152</v>
      </c>
      <c r="E59" s="77"/>
      <c r="F59" s="77"/>
      <c r="G59" s="77"/>
      <c r="H59" s="24">
        <f t="shared" si="10"/>
        <v>0</v>
      </c>
      <c r="I59" s="77"/>
      <c r="J59" s="77"/>
      <c r="K59" s="77"/>
      <c r="L59" s="77"/>
      <c r="M59" s="77"/>
      <c r="N59" s="77"/>
      <c r="O59" s="24">
        <f t="shared" si="3"/>
        <v>0</v>
      </c>
    </row>
    <row r="60" spans="1:15" s="29" customFormat="1" ht="30" customHeight="1" x14ac:dyDescent="0.25">
      <c r="A60" s="19" t="s">
        <v>285</v>
      </c>
      <c r="B60" s="19" t="s">
        <v>284</v>
      </c>
      <c r="C60" s="19" t="s">
        <v>53</v>
      </c>
      <c r="D60" s="27" t="s">
        <v>324</v>
      </c>
      <c r="E60" s="77">
        <v>20</v>
      </c>
      <c r="F60" s="77"/>
      <c r="G60" s="77"/>
      <c r="H60" s="24">
        <f t="shared" si="10"/>
        <v>0</v>
      </c>
      <c r="I60" s="77"/>
      <c r="J60" s="77"/>
      <c r="K60" s="77"/>
      <c r="L60" s="77"/>
      <c r="M60" s="77"/>
      <c r="N60" s="77"/>
      <c r="O60" s="24">
        <f t="shared" si="3"/>
        <v>20</v>
      </c>
    </row>
    <row r="61" spans="1:15" s="29" customFormat="1" ht="15.75" hidden="1" x14ac:dyDescent="0.25">
      <c r="A61" s="19" t="s">
        <v>325</v>
      </c>
      <c r="B61" s="19" t="s">
        <v>326</v>
      </c>
      <c r="C61" s="19" t="s">
        <v>53</v>
      </c>
      <c r="D61" s="27" t="s">
        <v>327</v>
      </c>
      <c r="E61" s="77"/>
      <c r="F61" s="77"/>
      <c r="G61" s="77"/>
      <c r="H61" s="24"/>
      <c r="I61" s="77"/>
      <c r="J61" s="77"/>
      <c r="K61" s="77"/>
      <c r="L61" s="77"/>
      <c r="M61" s="77"/>
      <c r="N61" s="77"/>
      <c r="O61" s="24"/>
    </row>
    <row r="62" spans="1:15" s="29" customFormat="1" ht="78.75" hidden="1" x14ac:dyDescent="0.25">
      <c r="A62" s="19" t="s">
        <v>136</v>
      </c>
      <c r="B62" s="19" t="s">
        <v>61</v>
      </c>
      <c r="C62" s="19" t="s">
        <v>54</v>
      </c>
      <c r="D62" s="12" t="s">
        <v>55</v>
      </c>
      <c r="E62" s="24"/>
      <c r="F62" s="24"/>
      <c r="G62" s="24"/>
      <c r="H62" s="24">
        <f t="shared" si="10"/>
        <v>0</v>
      </c>
      <c r="I62" s="24"/>
      <c r="J62" s="24"/>
      <c r="K62" s="24"/>
      <c r="L62" s="24"/>
      <c r="M62" s="24"/>
      <c r="N62" s="24"/>
      <c r="O62" s="24">
        <f t="shared" si="3"/>
        <v>0</v>
      </c>
    </row>
    <row r="63" spans="1:15" s="29" customFormat="1" ht="31.5" hidden="1" x14ac:dyDescent="0.25">
      <c r="A63" s="19" t="s">
        <v>321</v>
      </c>
      <c r="B63" s="19" t="s">
        <v>318</v>
      </c>
      <c r="C63" s="19" t="s">
        <v>33</v>
      </c>
      <c r="D63" s="27" t="s">
        <v>319</v>
      </c>
      <c r="E63" s="24"/>
      <c r="F63" s="24"/>
      <c r="G63" s="24"/>
      <c r="H63" s="24">
        <f t="shared" si="10"/>
        <v>0</v>
      </c>
      <c r="I63" s="24"/>
      <c r="J63" s="24"/>
      <c r="K63" s="24"/>
      <c r="L63" s="24"/>
      <c r="M63" s="24"/>
      <c r="N63" s="24"/>
      <c r="O63" s="24">
        <f t="shared" si="3"/>
        <v>0</v>
      </c>
    </row>
    <row r="64" spans="1:15" s="29" customFormat="1" ht="47.25" x14ac:dyDescent="0.25">
      <c r="A64" s="19" t="s">
        <v>143</v>
      </c>
      <c r="B64" s="19" t="s">
        <v>110</v>
      </c>
      <c r="C64" s="19" t="s">
        <v>56</v>
      </c>
      <c r="D64" s="12" t="s">
        <v>57</v>
      </c>
      <c r="E64" s="77">
        <v>60</v>
      </c>
      <c r="F64" s="77"/>
      <c r="G64" s="77"/>
      <c r="H64" s="24">
        <f t="shared" si="10"/>
        <v>0</v>
      </c>
      <c r="I64" s="77"/>
      <c r="J64" s="77"/>
      <c r="K64" s="77"/>
      <c r="L64" s="77"/>
      <c r="M64" s="77"/>
      <c r="N64" s="77"/>
      <c r="O64" s="24">
        <f t="shared" si="3"/>
        <v>60</v>
      </c>
    </row>
    <row r="65" spans="1:15" s="29" customFormat="1" ht="31.5" x14ac:dyDescent="0.25">
      <c r="A65" s="19" t="s">
        <v>379</v>
      </c>
      <c r="B65" s="19" t="s">
        <v>291</v>
      </c>
      <c r="C65" s="19" t="s">
        <v>58</v>
      </c>
      <c r="D65" s="18" t="s">
        <v>258</v>
      </c>
      <c r="E65" s="77"/>
      <c r="F65" s="77"/>
      <c r="G65" s="77"/>
      <c r="H65" s="24">
        <f t="shared" si="10"/>
        <v>1500</v>
      </c>
      <c r="I65" s="77"/>
      <c r="J65" s="77"/>
      <c r="K65" s="77"/>
      <c r="L65" s="77">
        <v>1500</v>
      </c>
      <c r="M65" s="77">
        <v>1500</v>
      </c>
      <c r="N65" s="77">
        <v>1500</v>
      </c>
      <c r="O65" s="24">
        <f t="shared" si="3"/>
        <v>1500</v>
      </c>
    </row>
    <row r="66" spans="1:15" s="30" customFormat="1" ht="46.5" customHeight="1" x14ac:dyDescent="0.25">
      <c r="A66" s="25" t="s">
        <v>144</v>
      </c>
      <c r="B66" s="25"/>
      <c r="C66" s="25"/>
      <c r="D66" s="26" t="s">
        <v>20</v>
      </c>
      <c r="E66" s="41">
        <f>E67</f>
        <v>5280.52</v>
      </c>
      <c r="F66" s="41">
        <f t="shared" ref="F66:N66" si="11">F67</f>
        <v>0</v>
      </c>
      <c r="G66" s="41">
        <f t="shared" si="11"/>
        <v>0</v>
      </c>
      <c r="H66" s="41">
        <f t="shared" si="11"/>
        <v>0</v>
      </c>
      <c r="I66" s="41">
        <f t="shared" si="11"/>
        <v>0</v>
      </c>
      <c r="J66" s="41">
        <f t="shared" si="11"/>
        <v>0</v>
      </c>
      <c r="K66" s="41">
        <f t="shared" si="11"/>
        <v>0</v>
      </c>
      <c r="L66" s="41">
        <f t="shared" si="11"/>
        <v>0</v>
      </c>
      <c r="M66" s="41">
        <f t="shared" si="11"/>
        <v>0</v>
      </c>
      <c r="N66" s="41">
        <f t="shared" si="11"/>
        <v>0</v>
      </c>
      <c r="O66" s="41">
        <f t="shared" si="3"/>
        <v>5280.52</v>
      </c>
    </row>
    <row r="67" spans="1:15" s="29" customFormat="1" ht="31.5" customHeight="1" x14ac:dyDescent="0.25">
      <c r="A67" s="25" t="s">
        <v>145</v>
      </c>
      <c r="B67" s="19"/>
      <c r="C67" s="19"/>
      <c r="D67" s="26" t="s">
        <v>20</v>
      </c>
      <c r="E67" s="41">
        <f>E68+E85+E88+E89+E90+E86+E91+E69+E70+E71+E72+E73+E74+E75+E76+E77+E78+E79+E80+E81+E82+E84+E87+E83</f>
        <v>5280.52</v>
      </c>
      <c r="F67" s="41">
        <f>F68+F88+F89+F90+F86+F91+F69+F70+F71+F72+F73+F74+F75+F76+F77+F78+F79+F80+F81+F82+F84+F87</f>
        <v>0</v>
      </c>
      <c r="G67" s="41">
        <f>G68+G88+G89+G90+G86+G91+G69+G70+G71+G72+G73+G74+G75+G76+G77+G78+G79+G80+G81+G82+G84+G87</f>
        <v>0</v>
      </c>
      <c r="H67" s="41">
        <f>I67+L67</f>
        <v>0</v>
      </c>
      <c r="I67" s="41">
        <f t="shared" ref="I67:N67" si="12">I68+I88+I89+I90+I86+I91+I69+I70+I71+I72+I73+I74+I75+I76+I77+I78+I79+I80+I81+I82+I84+I87</f>
        <v>0</v>
      </c>
      <c r="J67" s="41">
        <f t="shared" si="12"/>
        <v>0</v>
      </c>
      <c r="K67" s="41">
        <f t="shared" si="12"/>
        <v>0</v>
      </c>
      <c r="L67" s="41">
        <f t="shared" si="12"/>
        <v>0</v>
      </c>
      <c r="M67" s="41">
        <f t="shared" si="12"/>
        <v>0</v>
      </c>
      <c r="N67" s="41">
        <f t="shared" si="12"/>
        <v>0</v>
      </c>
      <c r="O67" s="41">
        <f>E67+H67</f>
        <v>5280.52</v>
      </c>
    </row>
    <row r="68" spans="1:15" s="29" customFormat="1" ht="51" customHeight="1" x14ac:dyDescent="0.25">
      <c r="A68" s="19" t="s">
        <v>146</v>
      </c>
      <c r="B68" s="19" t="s">
        <v>124</v>
      </c>
      <c r="C68" s="19" t="s">
        <v>32</v>
      </c>
      <c r="D68" s="18" t="s">
        <v>126</v>
      </c>
      <c r="E68" s="24">
        <f>198.72-23</f>
        <v>175.72</v>
      </c>
      <c r="F68" s="24"/>
      <c r="G68" s="24"/>
      <c r="H68" s="24">
        <f>I68+L68</f>
        <v>0</v>
      </c>
      <c r="I68" s="24"/>
      <c r="J68" s="24"/>
      <c r="K68" s="24"/>
      <c r="L68" s="24"/>
      <c r="M68" s="24"/>
      <c r="N68" s="24"/>
      <c r="O68" s="24">
        <f t="shared" si="3"/>
        <v>175.72</v>
      </c>
    </row>
    <row r="69" spans="1:15" s="15" customFormat="1" ht="47.25" hidden="1" x14ac:dyDescent="0.25">
      <c r="A69" s="19" t="s">
        <v>220</v>
      </c>
      <c r="B69" s="19" t="s">
        <v>72</v>
      </c>
      <c r="C69" s="19" t="s">
        <v>47</v>
      </c>
      <c r="D69" s="12" t="s">
        <v>219</v>
      </c>
      <c r="E69" s="24"/>
      <c r="F69" s="24"/>
      <c r="G69" s="24"/>
      <c r="H69" s="41"/>
      <c r="I69" s="24"/>
      <c r="J69" s="24"/>
      <c r="K69" s="24"/>
      <c r="L69" s="24"/>
      <c r="M69" s="24"/>
      <c r="N69" s="24"/>
      <c r="O69" s="24">
        <f t="shared" si="3"/>
        <v>0</v>
      </c>
    </row>
    <row r="70" spans="1:15" s="15" customFormat="1" ht="47.25" hidden="1" x14ac:dyDescent="0.25">
      <c r="A70" s="19" t="s">
        <v>221</v>
      </c>
      <c r="B70" s="19" t="s">
        <v>75</v>
      </c>
      <c r="C70" s="19" t="s">
        <v>47</v>
      </c>
      <c r="D70" s="12" t="s">
        <v>91</v>
      </c>
      <c r="E70" s="24"/>
      <c r="F70" s="24"/>
      <c r="G70" s="24"/>
      <c r="H70" s="41"/>
      <c r="I70" s="24"/>
      <c r="J70" s="24"/>
      <c r="K70" s="24"/>
      <c r="L70" s="24"/>
      <c r="M70" s="24"/>
      <c r="N70" s="24"/>
      <c r="O70" s="24">
        <f t="shared" si="3"/>
        <v>0</v>
      </c>
    </row>
    <row r="71" spans="1:15" s="15" customFormat="1" ht="63" hidden="1" x14ac:dyDescent="0.25">
      <c r="A71" s="19" t="s">
        <v>223</v>
      </c>
      <c r="B71" s="19" t="s">
        <v>73</v>
      </c>
      <c r="C71" s="19" t="s">
        <v>47</v>
      </c>
      <c r="D71" s="12" t="s">
        <v>222</v>
      </c>
      <c r="E71" s="24"/>
      <c r="F71" s="24"/>
      <c r="G71" s="24"/>
      <c r="H71" s="41"/>
      <c r="I71" s="24"/>
      <c r="J71" s="24"/>
      <c r="K71" s="24"/>
      <c r="L71" s="24"/>
      <c r="M71" s="24"/>
      <c r="N71" s="24"/>
      <c r="O71" s="24">
        <f t="shared" si="3"/>
        <v>0</v>
      </c>
    </row>
    <row r="72" spans="1:15" s="15" customFormat="1" ht="63" hidden="1" x14ac:dyDescent="0.25">
      <c r="A72" s="19" t="s">
        <v>225</v>
      </c>
      <c r="B72" s="19" t="s">
        <v>224</v>
      </c>
      <c r="C72" s="19" t="s">
        <v>68</v>
      </c>
      <c r="D72" s="12" t="s">
        <v>92</v>
      </c>
      <c r="E72" s="24"/>
      <c r="F72" s="24"/>
      <c r="G72" s="24"/>
      <c r="H72" s="41"/>
      <c r="I72" s="24"/>
      <c r="J72" s="24"/>
      <c r="K72" s="24"/>
      <c r="L72" s="24"/>
      <c r="M72" s="24"/>
      <c r="N72" s="24"/>
      <c r="O72" s="24">
        <f t="shared" si="3"/>
        <v>0</v>
      </c>
    </row>
    <row r="73" spans="1:15" s="15" customFormat="1" ht="31.5" hidden="1" x14ac:dyDescent="0.25">
      <c r="A73" s="19" t="s">
        <v>227</v>
      </c>
      <c r="B73" s="19" t="s">
        <v>74</v>
      </c>
      <c r="C73" s="19" t="s">
        <v>47</v>
      </c>
      <c r="D73" s="12" t="s">
        <v>226</v>
      </c>
      <c r="E73" s="24"/>
      <c r="F73" s="24"/>
      <c r="G73" s="24"/>
      <c r="H73" s="41"/>
      <c r="I73" s="24"/>
      <c r="J73" s="24"/>
      <c r="K73" s="24"/>
      <c r="L73" s="24"/>
      <c r="M73" s="24"/>
      <c r="N73" s="24"/>
      <c r="O73" s="24">
        <f t="shared" si="3"/>
        <v>0</v>
      </c>
    </row>
    <row r="74" spans="1:15" s="15" customFormat="1" ht="31.5" hidden="1" x14ac:dyDescent="0.25">
      <c r="A74" s="19" t="s">
        <v>228</v>
      </c>
      <c r="B74" s="19" t="s">
        <v>229</v>
      </c>
      <c r="C74" s="19" t="s">
        <v>76</v>
      </c>
      <c r="D74" s="12" t="s">
        <v>77</v>
      </c>
      <c r="E74" s="24"/>
      <c r="F74" s="24"/>
      <c r="G74" s="24"/>
      <c r="H74" s="41"/>
      <c r="I74" s="24"/>
      <c r="J74" s="24"/>
      <c r="K74" s="24"/>
      <c r="L74" s="24"/>
      <c r="M74" s="24"/>
      <c r="N74" s="24"/>
      <c r="O74" s="24">
        <f t="shared" si="3"/>
        <v>0</v>
      </c>
    </row>
    <row r="75" spans="1:15" ht="31.5" hidden="1" x14ac:dyDescent="0.25">
      <c r="A75" s="19" t="s">
        <v>230</v>
      </c>
      <c r="B75" s="19" t="s">
        <v>78</v>
      </c>
      <c r="C75" s="19" t="s">
        <v>54</v>
      </c>
      <c r="D75" s="18" t="s">
        <v>79</v>
      </c>
      <c r="E75" s="24"/>
      <c r="F75" s="24"/>
      <c r="G75" s="24"/>
      <c r="H75" s="41"/>
      <c r="I75" s="24"/>
      <c r="J75" s="24"/>
      <c r="K75" s="24"/>
      <c r="L75" s="24"/>
      <c r="M75" s="24"/>
      <c r="N75" s="24"/>
      <c r="O75" s="24">
        <f t="shared" si="3"/>
        <v>0</v>
      </c>
    </row>
    <row r="76" spans="1:15" ht="15.75" hidden="1" x14ac:dyDescent="0.25">
      <c r="A76" s="19" t="s">
        <v>231</v>
      </c>
      <c r="B76" s="19" t="s">
        <v>80</v>
      </c>
      <c r="C76" s="19" t="s">
        <v>54</v>
      </c>
      <c r="D76" s="39" t="s">
        <v>89</v>
      </c>
      <c r="E76" s="24"/>
      <c r="F76" s="24"/>
      <c r="G76" s="24"/>
      <c r="H76" s="41"/>
      <c r="I76" s="24"/>
      <c r="J76" s="24"/>
      <c r="K76" s="24"/>
      <c r="L76" s="24"/>
      <c r="M76" s="24"/>
      <c r="N76" s="24"/>
      <c r="O76" s="24">
        <f t="shared" si="3"/>
        <v>0</v>
      </c>
    </row>
    <row r="77" spans="1:15" ht="15.75" hidden="1" x14ac:dyDescent="0.25">
      <c r="A77" s="19" t="s">
        <v>232</v>
      </c>
      <c r="B77" s="19" t="s">
        <v>81</v>
      </c>
      <c r="C77" s="19" t="s">
        <v>54</v>
      </c>
      <c r="D77" s="18" t="s">
        <v>82</v>
      </c>
      <c r="E77" s="24"/>
      <c r="F77" s="24"/>
      <c r="G77" s="24"/>
      <c r="H77" s="41"/>
      <c r="I77" s="24"/>
      <c r="J77" s="24"/>
      <c r="K77" s="24"/>
      <c r="L77" s="24"/>
      <c r="M77" s="24"/>
      <c r="N77" s="24"/>
      <c r="O77" s="24">
        <f t="shared" si="3"/>
        <v>0</v>
      </c>
    </row>
    <row r="78" spans="1:15" ht="31.5" hidden="1" x14ac:dyDescent="0.25">
      <c r="A78" s="19" t="s">
        <v>233</v>
      </c>
      <c r="B78" s="19" t="s">
        <v>83</v>
      </c>
      <c r="C78" s="19" t="s">
        <v>54</v>
      </c>
      <c r="D78" s="18" t="s">
        <v>84</v>
      </c>
      <c r="E78" s="24"/>
      <c r="F78" s="24"/>
      <c r="G78" s="24"/>
      <c r="H78" s="41"/>
      <c r="I78" s="24"/>
      <c r="J78" s="24"/>
      <c r="K78" s="24"/>
      <c r="L78" s="24"/>
      <c r="M78" s="24"/>
      <c r="N78" s="24"/>
      <c r="O78" s="24">
        <f t="shared" si="3"/>
        <v>0</v>
      </c>
    </row>
    <row r="79" spans="1:15" ht="31.5" hidden="1" x14ac:dyDescent="0.25">
      <c r="A79" s="19" t="s">
        <v>234</v>
      </c>
      <c r="B79" s="19" t="s">
        <v>87</v>
      </c>
      <c r="C79" s="19" t="s">
        <v>54</v>
      </c>
      <c r="D79" s="18" t="s">
        <v>86</v>
      </c>
      <c r="E79" s="24"/>
      <c r="F79" s="24"/>
      <c r="G79" s="24"/>
      <c r="H79" s="41"/>
      <c r="I79" s="24"/>
      <c r="J79" s="24"/>
      <c r="K79" s="24"/>
      <c r="L79" s="24"/>
      <c r="M79" s="24"/>
      <c r="N79" s="24"/>
      <c r="O79" s="24">
        <f t="shared" si="3"/>
        <v>0</v>
      </c>
    </row>
    <row r="80" spans="1:15" ht="31.5" hidden="1" x14ac:dyDescent="0.25">
      <c r="A80" s="19" t="s">
        <v>235</v>
      </c>
      <c r="B80" s="19" t="s">
        <v>85</v>
      </c>
      <c r="C80" s="19" t="s">
        <v>54</v>
      </c>
      <c r="D80" s="18" t="s">
        <v>116</v>
      </c>
      <c r="E80" s="24"/>
      <c r="F80" s="24"/>
      <c r="G80" s="24"/>
      <c r="H80" s="41"/>
      <c r="I80" s="24"/>
      <c r="J80" s="24"/>
      <c r="K80" s="24"/>
      <c r="L80" s="24"/>
      <c r="M80" s="24"/>
      <c r="N80" s="24"/>
      <c r="O80" s="24">
        <f t="shared" si="3"/>
        <v>0</v>
      </c>
    </row>
    <row r="81" spans="1:15" ht="31.5" hidden="1" x14ac:dyDescent="0.25">
      <c r="A81" s="19" t="s">
        <v>236</v>
      </c>
      <c r="B81" s="19" t="s">
        <v>88</v>
      </c>
      <c r="C81" s="19" t="s">
        <v>54</v>
      </c>
      <c r="D81" s="18" t="s">
        <v>90</v>
      </c>
      <c r="E81" s="24"/>
      <c r="F81" s="24"/>
      <c r="G81" s="24"/>
      <c r="H81" s="41"/>
      <c r="I81" s="24"/>
      <c r="J81" s="24"/>
      <c r="K81" s="24"/>
      <c r="L81" s="24"/>
      <c r="M81" s="24"/>
      <c r="N81" s="24"/>
      <c r="O81" s="24">
        <f t="shared" si="3"/>
        <v>0</v>
      </c>
    </row>
    <row r="82" spans="1:15" ht="39.75" hidden="1" customHeight="1" x14ac:dyDescent="0.25">
      <c r="A82" s="19" t="s">
        <v>302</v>
      </c>
      <c r="B82" s="19" t="s">
        <v>304</v>
      </c>
      <c r="C82" s="19" t="s">
        <v>42</v>
      </c>
      <c r="D82" s="12" t="s">
        <v>306</v>
      </c>
      <c r="E82" s="24"/>
      <c r="F82" s="24"/>
      <c r="G82" s="24"/>
      <c r="H82" s="41"/>
      <c r="I82" s="24"/>
      <c r="J82" s="24"/>
      <c r="K82" s="24"/>
      <c r="L82" s="24"/>
      <c r="M82" s="24"/>
      <c r="N82" s="24"/>
      <c r="O82" s="24">
        <f t="shared" si="3"/>
        <v>0</v>
      </c>
    </row>
    <row r="83" spans="1:15" ht="60" hidden="1" customHeight="1" x14ac:dyDescent="0.25">
      <c r="A83" s="19" t="s">
        <v>302</v>
      </c>
      <c r="B83" s="19" t="s">
        <v>328</v>
      </c>
      <c r="C83" s="19" t="s">
        <v>42</v>
      </c>
      <c r="D83" s="12" t="s">
        <v>329</v>
      </c>
      <c r="E83" s="24"/>
      <c r="F83" s="24"/>
      <c r="G83" s="24"/>
      <c r="H83" s="41"/>
      <c r="I83" s="24"/>
      <c r="J83" s="24"/>
      <c r="K83" s="24"/>
      <c r="L83" s="24"/>
      <c r="M83" s="24"/>
      <c r="N83" s="24"/>
      <c r="O83" s="24">
        <f t="shared" si="3"/>
        <v>0</v>
      </c>
    </row>
    <row r="84" spans="1:15" ht="45.75" hidden="1" customHeight="1" x14ac:dyDescent="0.25">
      <c r="A84" s="19" t="s">
        <v>303</v>
      </c>
      <c r="B84" s="19" t="s">
        <v>305</v>
      </c>
      <c r="C84" s="19" t="s">
        <v>42</v>
      </c>
      <c r="D84" s="12" t="s">
        <v>307</v>
      </c>
      <c r="E84" s="24"/>
      <c r="F84" s="41"/>
      <c r="G84" s="41"/>
      <c r="H84" s="41"/>
      <c r="I84" s="41"/>
      <c r="J84" s="41"/>
      <c r="K84" s="41"/>
      <c r="L84" s="41"/>
      <c r="M84" s="41"/>
      <c r="N84" s="41"/>
      <c r="O84" s="24">
        <f t="shared" si="3"/>
        <v>0</v>
      </c>
    </row>
    <row r="85" spans="1:15" s="16" customFormat="1" ht="20.25" customHeight="1" x14ac:dyDescent="0.25">
      <c r="A85" s="19" t="s">
        <v>387</v>
      </c>
      <c r="B85" s="19" t="s">
        <v>41</v>
      </c>
      <c r="C85" s="19" t="s">
        <v>37</v>
      </c>
      <c r="D85" s="85" t="s">
        <v>207</v>
      </c>
      <c r="E85" s="24">
        <v>23</v>
      </c>
      <c r="F85" s="41"/>
      <c r="G85" s="41"/>
      <c r="H85" s="41"/>
      <c r="I85" s="41"/>
      <c r="J85" s="41"/>
      <c r="K85" s="41"/>
      <c r="L85" s="41"/>
      <c r="M85" s="41"/>
      <c r="N85" s="41"/>
      <c r="O85" s="24">
        <f t="shared" si="3"/>
        <v>23</v>
      </c>
    </row>
    <row r="86" spans="1:15" ht="63" x14ac:dyDescent="0.25">
      <c r="A86" s="19" t="s">
        <v>250</v>
      </c>
      <c r="B86" s="19" t="s">
        <v>249</v>
      </c>
      <c r="C86" s="19" t="s">
        <v>44</v>
      </c>
      <c r="D86" s="12" t="s">
        <v>308</v>
      </c>
      <c r="E86" s="24">
        <v>57.3</v>
      </c>
      <c r="F86" s="24"/>
      <c r="G86" s="24"/>
      <c r="H86" s="24">
        <f>I86+L86</f>
        <v>0</v>
      </c>
      <c r="I86" s="24"/>
      <c r="J86" s="24"/>
      <c r="K86" s="24"/>
      <c r="L86" s="24"/>
      <c r="M86" s="24"/>
      <c r="N86" s="24"/>
      <c r="O86" s="24">
        <f t="shared" ref="O86:O115" si="13">E86+H86</f>
        <v>57.3</v>
      </c>
    </row>
    <row r="87" spans="1:15" s="15" customFormat="1" ht="31.5" customHeight="1" x14ac:dyDescent="0.25">
      <c r="A87" s="19" t="s">
        <v>148</v>
      </c>
      <c r="B87" s="19" t="s">
        <v>147</v>
      </c>
      <c r="C87" s="19" t="s">
        <v>54</v>
      </c>
      <c r="D87" s="12" t="s">
        <v>149</v>
      </c>
      <c r="E87" s="77">
        <v>24.5</v>
      </c>
      <c r="F87" s="77"/>
      <c r="G87" s="77"/>
      <c r="H87" s="41"/>
      <c r="I87" s="24"/>
      <c r="J87" s="24"/>
      <c r="K87" s="24"/>
      <c r="L87" s="24"/>
      <c r="M87" s="24"/>
      <c r="N87" s="24"/>
      <c r="O87" s="24">
        <f t="shared" si="13"/>
        <v>24.5</v>
      </c>
    </row>
    <row r="88" spans="1:15" ht="94.5" x14ac:dyDescent="0.25">
      <c r="A88" s="19" t="s">
        <v>309</v>
      </c>
      <c r="B88" s="19" t="s">
        <v>310</v>
      </c>
      <c r="C88" s="19" t="s">
        <v>42</v>
      </c>
      <c r="D88" s="12" t="s">
        <v>311</v>
      </c>
      <c r="E88" s="77"/>
      <c r="F88" s="77"/>
      <c r="G88" s="77"/>
      <c r="H88" s="24"/>
      <c r="I88" s="24"/>
      <c r="J88" s="24"/>
      <c r="K88" s="24"/>
      <c r="L88" s="24"/>
      <c r="M88" s="24"/>
      <c r="N88" s="24"/>
      <c r="O88" s="91"/>
    </row>
    <row r="89" spans="1:15" ht="82.5" hidden="1" customHeight="1" x14ac:dyDescent="0.25">
      <c r="A89" s="19" t="s">
        <v>312</v>
      </c>
      <c r="B89" s="19" t="s">
        <v>313</v>
      </c>
      <c r="C89" s="19" t="s">
        <v>68</v>
      </c>
      <c r="D89" s="12" t="s">
        <v>314</v>
      </c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>
        <f t="shared" si="13"/>
        <v>0</v>
      </c>
    </row>
    <row r="90" spans="1:15" ht="47.25" hidden="1" x14ac:dyDescent="0.25">
      <c r="A90" s="19" t="s">
        <v>315</v>
      </c>
      <c r="B90" s="19" t="s">
        <v>316</v>
      </c>
      <c r="C90" s="19" t="s">
        <v>47</v>
      </c>
      <c r="D90" s="12" t="s">
        <v>317</v>
      </c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>
        <f t="shared" si="13"/>
        <v>0</v>
      </c>
    </row>
    <row r="91" spans="1:15" ht="30" customHeight="1" x14ac:dyDescent="0.25">
      <c r="A91" s="19" t="s">
        <v>322</v>
      </c>
      <c r="B91" s="19" t="s">
        <v>318</v>
      </c>
      <c r="C91" s="19" t="s">
        <v>33</v>
      </c>
      <c r="D91" s="12" t="s">
        <v>319</v>
      </c>
      <c r="E91" s="24">
        <v>5000</v>
      </c>
      <c r="F91" s="24"/>
      <c r="G91" s="24"/>
      <c r="H91" s="24"/>
      <c r="I91" s="24"/>
      <c r="J91" s="24"/>
      <c r="K91" s="24"/>
      <c r="L91" s="24"/>
      <c r="M91" s="24"/>
      <c r="N91" s="24"/>
      <c r="O91" s="24">
        <f>E91+H91</f>
        <v>5000</v>
      </c>
    </row>
    <row r="92" spans="1:15" ht="3.75" hidden="1" customHeight="1" x14ac:dyDescent="0.25">
      <c r="A92" s="25" t="s">
        <v>153</v>
      </c>
      <c r="B92" s="19"/>
      <c r="C92" s="19"/>
      <c r="D92" s="26" t="s">
        <v>21</v>
      </c>
      <c r="E92" s="41">
        <f>E93</f>
        <v>0</v>
      </c>
      <c r="F92" s="41">
        <f>F93</f>
        <v>0</v>
      </c>
      <c r="G92" s="24"/>
      <c r="H92" s="41">
        <f>H93</f>
        <v>0</v>
      </c>
      <c r="I92" s="41">
        <f t="shared" ref="I92:N92" si="14">I93</f>
        <v>0</v>
      </c>
      <c r="J92" s="41">
        <f t="shared" si="14"/>
        <v>0</v>
      </c>
      <c r="K92" s="41">
        <f t="shared" si="14"/>
        <v>0</v>
      </c>
      <c r="L92" s="41">
        <f t="shared" si="14"/>
        <v>0</v>
      </c>
      <c r="M92" s="41">
        <f t="shared" si="14"/>
        <v>0</v>
      </c>
      <c r="N92" s="41">
        <f t="shared" si="14"/>
        <v>0</v>
      </c>
      <c r="O92" s="41">
        <f>O93</f>
        <v>0</v>
      </c>
    </row>
    <row r="93" spans="1:15" ht="31.5" hidden="1" x14ac:dyDescent="0.25">
      <c r="A93" s="25" t="s">
        <v>154</v>
      </c>
      <c r="B93" s="19"/>
      <c r="C93" s="19"/>
      <c r="D93" s="26" t="s">
        <v>21</v>
      </c>
      <c r="E93" s="41">
        <f>E94+E95+E96</f>
        <v>0</v>
      </c>
      <c r="F93" s="41">
        <f>F94+F95+F96</f>
        <v>0</v>
      </c>
      <c r="G93" s="41"/>
      <c r="H93" s="41">
        <f>I93+L93</f>
        <v>0</v>
      </c>
      <c r="I93" s="41">
        <f t="shared" ref="I93:N93" si="15">I94+I95+I96</f>
        <v>0</v>
      </c>
      <c r="J93" s="41">
        <f t="shared" si="15"/>
        <v>0</v>
      </c>
      <c r="K93" s="41">
        <f t="shared" si="15"/>
        <v>0</v>
      </c>
      <c r="L93" s="41">
        <f t="shared" si="15"/>
        <v>0</v>
      </c>
      <c r="M93" s="41">
        <f t="shared" si="15"/>
        <v>0</v>
      </c>
      <c r="N93" s="41">
        <f t="shared" si="15"/>
        <v>0</v>
      </c>
      <c r="O93" s="41">
        <f t="shared" si="13"/>
        <v>0</v>
      </c>
    </row>
    <row r="94" spans="1:15" ht="47.25" hidden="1" x14ac:dyDescent="0.25">
      <c r="A94" s="19" t="s">
        <v>155</v>
      </c>
      <c r="B94" s="19" t="s">
        <v>124</v>
      </c>
      <c r="C94" s="19" t="s">
        <v>32</v>
      </c>
      <c r="D94" s="18" t="s">
        <v>126</v>
      </c>
      <c r="E94" s="24"/>
      <c r="F94" s="24"/>
      <c r="G94" s="24"/>
      <c r="H94" s="24">
        <f>I94+L94</f>
        <v>0</v>
      </c>
      <c r="I94" s="24"/>
      <c r="J94" s="24"/>
      <c r="K94" s="24"/>
      <c r="L94" s="24"/>
      <c r="M94" s="24"/>
      <c r="N94" s="24"/>
      <c r="O94" s="24">
        <f t="shared" si="13"/>
        <v>0</v>
      </c>
    </row>
    <row r="95" spans="1:15" s="15" customFormat="1" ht="31.5" hidden="1" x14ac:dyDescent="0.25">
      <c r="A95" s="19" t="s">
        <v>156</v>
      </c>
      <c r="B95" s="19" t="s">
        <v>93</v>
      </c>
      <c r="C95" s="19" t="s">
        <v>54</v>
      </c>
      <c r="D95" s="12" t="s">
        <v>103</v>
      </c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>
        <f t="shared" si="13"/>
        <v>0</v>
      </c>
    </row>
    <row r="96" spans="1:15" ht="78.75" hidden="1" x14ac:dyDescent="0.25">
      <c r="A96" s="19" t="s">
        <v>157</v>
      </c>
      <c r="B96" s="19" t="s">
        <v>61</v>
      </c>
      <c r="C96" s="19" t="s">
        <v>54</v>
      </c>
      <c r="D96" s="11" t="s">
        <v>55</v>
      </c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>
        <f t="shared" si="13"/>
        <v>0</v>
      </c>
    </row>
    <row r="97" spans="1:15" s="13" customFormat="1" ht="35.25" customHeight="1" x14ac:dyDescent="0.25">
      <c r="A97" s="25" t="s">
        <v>158</v>
      </c>
      <c r="B97" s="25"/>
      <c r="C97" s="25"/>
      <c r="D97" s="26" t="s">
        <v>15</v>
      </c>
      <c r="E97" s="41">
        <f>E98</f>
        <v>283.72000000000003</v>
      </c>
      <c r="F97" s="41">
        <f t="shared" ref="F97:O97" si="16">F98</f>
        <v>0</v>
      </c>
      <c r="G97" s="41">
        <f t="shared" si="16"/>
        <v>0</v>
      </c>
      <c r="H97" s="41">
        <f>H98</f>
        <v>1110</v>
      </c>
      <c r="I97" s="41">
        <f t="shared" si="16"/>
        <v>-50</v>
      </c>
      <c r="J97" s="41">
        <f t="shared" si="16"/>
        <v>0</v>
      </c>
      <c r="K97" s="41">
        <f t="shared" si="16"/>
        <v>0</v>
      </c>
      <c r="L97" s="41">
        <f t="shared" si="16"/>
        <v>1160</v>
      </c>
      <c r="M97" s="41">
        <f t="shared" si="16"/>
        <v>1110</v>
      </c>
      <c r="N97" s="41">
        <f t="shared" si="16"/>
        <v>1110</v>
      </c>
      <c r="O97" s="41">
        <f t="shared" si="16"/>
        <v>1393.72</v>
      </c>
    </row>
    <row r="98" spans="1:15" ht="33.75" customHeight="1" x14ac:dyDescent="0.25">
      <c r="A98" s="19" t="s">
        <v>159</v>
      </c>
      <c r="B98" s="19"/>
      <c r="C98" s="19"/>
      <c r="D98" s="26" t="s">
        <v>15</v>
      </c>
      <c r="E98" s="41">
        <f>E99+E101+E102+E103+E100+E104+E105</f>
        <v>283.72000000000003</v>
      </c>
      <c r="F98" s="41">
        <f>F99+F101+F102+F103+F100+F104+F105</f>
        <v>0</v>
      </c>
      <c r="G98" s="41">
        <f>G99+G101+G102+G103+G100+G104+G105</f>
        <v>0</v>
      </c>
      <c r="H98" s="41">
        <f>I98+L98</f>
        <v>1110</v>
      </c>
      <c r="I98" s="41">
        <f t="shared" ref="I98:N98" si="17">I99+I101+I102+I103+I100+I104+I105</f>
        <v>-50</v>
      </c>
      <c r="J98" s="41">
        <f t="shared" si="17"/>
        <v>0</v>
      </c>
      <c r="K98" s="41">
        <f t="shared" si="17"/>
        <v>0</v>
      </c>
      <c r="L98" s="41">
        <f t="shared" si="17"/>
        <v>1160</v>
      </c>
      <c r="M98" s="41">
        <f t="shared" si="17"/>
        <v>1110</v>
      </c>
      <c r="N98" s="41">
        <f t="shared" si="17"/>
        <v>1110</v>
      </c>
      <c r="O98" s="41">
        <f t="shared" si="13"/>
        <v>1393.72</v>
      </c>
    </row>
    <row r="99" spans="1:15" ht="47.25" hidden="1" x14ac:dyDescent="0.25">
      <c r="A99" s="19" t="s">
        <v>160</v>
      </c>
      <c r="B99" s="19" t="s">
        <v>124</v>
      </c>
      <c r="C99" s="19" t="s">
        <v>32</v>
      </c>
      <c r="D99" s="18" t="s">
        <v>126</v>
      </c>
      <c r="E99" s="24"/>
      <c r="F99" s="24"/>
      <c r="G99" s="24"/>
      <c r="H99" s="41"/>
      <c r="I99" s="24"/>
      <c r="J99" s="24"/>
      <c r="K99" s="24"/>
      <c r="L99" s="24"/>
      <c r="M99" s="24"/>
      <c r="N99" s="24"/>
      <c r="O99" s="24">
        <f t="shared" si="13"/>
        <v>0</v>
      </c>
    </row>
    <row r="100" spans="1:15" ht="63" x14ac:dyDescent="0.25">
      <c r="A100" s="19" t="s">
        <v>170</v>
      </c>
      <c r="B100" s="19" t="s">
        <v>169</v>
      </c>
      <c r="C100" s="19" t="s">
        <v>50</v>
      </c>
      <c r="D100" s="18" t="s">
        <v>171</v>
      </c>
      <c r="E100" s="24"/>
      <c r="F100" s="24"/>
      <c r="G100" s="24"/>
      <c r="H100" s="24">
        <f>I100+L100</f>
        <v>120</v>
      </c>
      <c r="I100" s="24">
        <v>-50</v>
      </c>
      <c r="J100" s="24"/>
      <c r="K100" s="24"/>
      <c r="L100" s="24">
        <f>50+120</f>
        <v>170</v>
      </c>
      <c r="M100" s="24">
        <v>120</v>
      </c>
      <c r="N100" s="24">
        <v>120</v>
      </c>
      <c r="O100" s="24">
        <f t="shared" si="13"/>
        <v>120</v>
      </c>
    </row>
    <row r="101" spans="1:15" ht="15.75" x14ac:dyDescent="0.25">
      <c r="A101" s="19" t="s">
        <v>162</v>
      </c>
      <c r="B101" s="19" t="s">
        <v>161</v>
      </c>
      <c r="C101" s="19" t="s">
        <v>95</v>
      </c>
      <c r="D101" s="12" t="s">
        <v>163</v>
      </c>
      <c r="E101" s="77">
        <v>50</v>
      </c>
      <c r="F101" s="77"/>
      <c r="G101" s="77"/>
      <c r="H101" s="24">
        <f>I101+L101</f>
        <v>600</v>
      </c>
      <c r="I101" s="77"/>
      <c r="J101" s="77"/>
      <c r="K101" s="77"/>
      <c r="L101" s="77">
        <v>600</v>
      </c>
      <c r="M101" s="77">
        <v>600</v>
      </c>
      <c r="N101" s="77">
        <v>600</v>
      </c>
      <c r="O101" s="77">
        <f t="shared" si="13"/>
        <v>650</v>
      </c>
    </row>
    <row r="102" spans="1:15" ht="15.75" x14ac:dyDescent="0.25">
      <c r="A102" s="19" t="s">
        <v>165</v>
      </c>
      <c r="B102" s="19" t="s">
        <v>164</v>
      </c>
      <c r="C102" s="19" t="s">
        <v>95</v>
      </c>
      <c r="D102" s="12" t="s">
        <v>166</v>
      </c>
      <c r="E102" s="77">
        <v>28.72</v>
      </c>
      <c r="F102" s="77"/>
      <c r="G102" s="77"/>
      <c r="H102" s="24">
        <f>I102+L102</f>
        <v>90</v>
      </c>
      <c r="I102" s="77"/>
      <c r="J102" s="77"/>
      <c r="K102" s="77"/>
      <c r="L102" s="77">
        <f>50+40</f>
        <v>90</v>
      </c>
      <c r="M102" s="77">
        <f>50+40</f>
        <v>90</v>
      </c>
      <c r="N102" s="77">
        <f>50+40</f>
        <v>90</v>
      </c>
      <c r="O102" s="77">
        <f t="shared" si="13"/>
        <v>118.72</v>
      </c>
    </row>
    <row r="103" spans="1:15" ht="45.75" customHeight="1" x14ac:dyDescent="0.25">
      <c r="A103" s="19" t="s">
        <v>167</v>
      </c>
      <c r="B103" s="19" t="s">
        <v>94</v>
      </c>
      <c r="C103" s="19" t="s">
        <v>96</v>
      </c>
      <c r="D103" s="12" t="s">
        <v>168</v>
      </c>
      <c r="E103" s="77">
        <v>120</v>
      </c>
      <c r="F103" s="77"/>
      <c r="G103" s="77"/>
      <c r="H103" s="24">
        <f>I103+L103</f>
        <v>300</v>
      </c>
      <c r="I103" s="77"/>
      <c r="J103" s="77"/>
      <c r="K103" s="77"/>
      <c r="L103" s="77">
        <f>120+180</f>
        <v>300</v>
      </c>
      <c r="M103" s="77">
        <f>120+180</f>
        <v>300</v>
      </c>
      <c r="N103" s="77">
        <f>120+180</f>
        <v>300</v>
      </c>
      <c r="O103" s="77">
        <f t="shared" si="13"/>
        <v>420</v>
      </c>
    </row>
    <row r="104" spans="1:15" ht="31.5" hidden="1" x14ac:dyDescent="0.25">
      <c r="A104" s="19" t="s">
        <v>323</v>
      </c>
      <c r="B104" s="19" t="s">
        <v>288</v>
      </c>
      <c r="C104" s="19" t="s">
        <v>97</v>
      </c>
      <c r="D104" s="12" t="s">
        <v>289</v>
      </c>
      <c r="E104" s="77"/>
      <c r="F104" s="77"/>
      <c r="G104" s="77"/>
      <c r="H104" s="24">
        <f>I104+L104</f>
        <v>0</v>
      </c>
      <c r="I104" s="77"/>
      <c r="J104" s="77"/>
      <c r="K104" s="77"/>
      <c r="L104" s="77"/>
      <c r="M104" s="77"/>
      <c r="N104" s="77"/>
      <c r="O104" s="77">
        <f t="shared" si="13"/>
        <v>0</v>
      </c>
    </row>
    <row r="105" spans="1:15" ht="15.75" x14ac:dyDescent="0.25">
      <c r="A105" s="19" t="s">
        <v>286</v>
      </c>
      <c r="B105" s="19" t="s">
        <v>287</v>
      </c>
      <c r="C105" s="19" t="s">
        <v>97</v>
      </c>
      <c r="D105" s="12" t="s">
        <v>290</v>
      </c>
      <c r="E105" s="77">
        <v>85</v>
      </c>
      <c r="F105" s="77"/>
      <c r="G105" s="77"/>
      <c r="H105" s="24"/>
      <c r="I105" s="77"/>
      <c r="J105" s="77"/>
      <c r="K105" s="77"/>
      <c r="L105" s="77"/>
      <c r="M105" s="77"/>
      <c r="N105" s="77"/>
      <c r="O105" s="77">
        <f t="shared" si="13"/>
        <v>85</v>
      </c>
    </row>
    <row r="106" spans="1:15" ht="48.75" customHeight="1" x14ac:dyDescent="0.25">
      <c r="A106" s="25" t="s">
        <v>59</v>
      </c>
      <c r="B106" s="25"/>
      <c r="C106" s="25"/>
      <c r="D106" s="26" t="s">
        <v>18</v>
      </c>
      <c r="E106" s="78">
        <f>E107</f>
        <v>198.72</v>
      </c>
      <c r="F106" s="78">
        <f>F107</f>
        <v>0</v>
      </c>
      <c r="G106" s="78">
        <f>G107</f>
        <v>0</v>
      </c>
      <c r="H106" s="78">
        <f>H107</f>
        <v>0</v>
      </c>
      <c r="I106" s="78">
        <f t="shared" ref="I106:N106" si="18">I107</f>
        <v>0</v>
      </c>
      <c r="J106" s="78">
        <f t="shared" si="18"/>
        <v>0</v>
      </c>
      <c r="K106" s="78">
        <f t="shared" si="18"/>
        <v>0</v>
      </c>
      <c r="L106" s="78">
        <f t="shared" si="18"/>
        <v>0</v>
      </c>
      <c r="M106" s="78">
        <f t="shared" si="18"/>
        <v>0</v>
      </c>
      <c r="N106" s="78">
        <f t="shared" si="18"/>
        <v>0</v>
      </c>
      <c r="O106" s="41">
        <f t="shared" si="13"/>
        <v>198.72</v>
      </c>
    </row>
    <row r="107" spans="1:15" ht="50.25" customHeight="1" x14ac:dyDescent="0.25">
      <c r="A107" s="25" t="s">
        <v>60</v>
      </c>
      <c r="B107" s="25"/>
      <c r="C107" s="25"/>
      <c r="D107" s="26" t="s">
        <v>18</v>
      </c>
      <c r="E107" s="41">
        <f>E108+E110+E111+E112+E113+E114+E109</f>
        <v>198.72</v>
      </c>
      <c r="F107" s="41">
        <f>F108+F110+F111+F112+F113+F114+F109</f>
        <v>0</v>
      </c>
      <c r="G107" s="41">
        <f>G108+G110+G111+G112+G113+G114+G109</f>
        <v>0</v>
      </c>
      <c r="H107" s="41">
        <f>I107+L107</f>
        <v>0</v>
      </c>
      <c r="I107" s="41">
        <f t="shared" ref="I107:N107" si="19">I108+I110+I111+I112+I113+I114+I109</f>
        <v>0</v>
      </c>
      <c r="J107" s="41">
        <f t="shared" si="19"/>
        <v>0</v>
      </c>
      <c r="K107" s="41">
        <f t="shared" si="19"/>
        <v>0</v>
      </c>
      <c r="L107" s="41">
        <f t="shared" si="19"/>
        <v>0</v>
      </c>
      <c r="M107" s="41">
        <f t="shared" si="19"/>
        <v>0</v>
      </c>
      <c r="N107" s="41">
        <f t="shared" si="19"/>
        <v>0</v>
      </c>
      <c r="O107" s="41">
        <f t="shared" si="13"/>
        <v>198.72</v>
      </c>
    </row>
    <row r="108" spans="1:15" ht="45.75" customHeight="1" x14ac:dyDescent="0.25">
      <c r="A108" s="19" t="s">
        <v>172</v>
      </c>
      <c r="B108" s="19" t="s">
        <v>124</v>
      </c>
      <c r="C108" s="19" t="s">
        <v>32</v>
      </c>
      <c r="D108" s="18" t="s">
        <v>126</v>
      </c>
      <c r="E108" s="24">
        <f>198.72</f>
        <v>198.72</v>
      </c>
      <c r="F108" s="24"/>
      <c r="G108" s="24"/>
      <c r="H108" s="77">
        <f>I108+L108</f>
        <v>0</v>
      </c>
      <c r="I108" s="41"/>
      <c r="J108" s="41"/>
      <c r="K108" s="41"/>
      <c r="L108" s="24"/>
      <c r="M108" s="24"/>
      <c r="N108" s="24"/>
      <c r="O108" s="41">
        <f t="shared" si="13"/>
        <v>198.72</v>
      </c>
    </row>
    <row r="109" spans="1:15" ht="15.75" hidden="1" x14ac:dyDescent="0.25">
      <c r="A109" s="19" t="s">
        <v>174</v>
      </c>
      <c r="B109" s="19" t="s">
        <v>173</v>
      </c>
      <c r="C109" s="19" t="s">
        <v>54</v>
      </c>
      <c r="D109" s="12" t="s">
        <v>63</v>
      </c>
      <c r="E109" s="24"/>
      <c r="F109" s="24"/>
      <c r="G109" s="24"/>
      <c r="H109" s="77"/>
      <c r="I109" s="41"/>
      <c r="J109" s="41"/>
      <c r="K109" s="41"/>
      <c r="L109" s="24"/>
      <c r="M109" s="24"/>
      <c r="N109" s="24"/>
      <c r="O109" s="41"/>
    </row>
    <row r="110" spans="1:15" ht="18" hidden="1" customHeight="1" x14ac:dyDescent="0.25">
      <c r="A110" s="19" t="s">
        <v>176</v>
      </c>
      <c r="B110" s="19" t="s">
        <v>175</v>
      </c>
      <c r="C110" s="19" t="s">
        <v>54</v>
      </c>
      <c r="D110" s="12" t="s">
        <v>111</v>
      </c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41">
        <f t="shared" si="13"/>
        <v>0</v>
      </c>
    </row>
    <row r="111" spans="1:15" ht="78.75" hidden="1" x14ac:dyDescent="0.25">
      <c r="A111" s="19" t="s">
        <v>62</v>
      </c>
      <c r="B111" s="19" t="s">
        <v>61</v>
      </c>
      <c r="C111" s="19" t="s">
        <v>54</v>
      </c>
      <c r="D111" s="11" t="s">
        <v>55</v>
      </c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41">
        <f t="shared" si="13"/>
        <v>0</v>
      </c>
    </row>
    <row r="112" spans="1:15" ht="31.5" hidden="1" x14ac:dyDescent="0.25">
      <c r="A112" s="19" t="s">
        <v>65</v>
      </c>
      <c r="B112" s="19" t="s">
        <v>64</v>
      </c>
      <c r="C112" s="19" t="s">
        <v>56</v>
      </c>
      <c r="D112" s="12" t="s">
        <v>102</v>
      </c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41">
        <f t="shared" si="13"/>
        <v>0</v>
      </c>
    </row>
    <row r="113" spans="1:15" ht="31.5" hidden="1" x14ac:dyDescent="0.25">
      <c r="A113" s="19" t="s">
        <v>104</v>
      </c>
      <c r="B113" s="19" t="s">
        <v>105</v>
      </c>
      <c r="C113" s="19" t="s">
        <v>56</v>
      </c>
      <c r="D113" s="12" t="s">
        <v>106</v>
      </c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41">
        <f t="shared" si="13"/>
        <v>0</v>
      </c>
    </row>
    <row r="114" spans="1:15" s="16" customFormat="1" ht="63" hidden="1" x14ac:dyDescent="0.25">
      <c r="A114" s="19" t="s">
        <v>112</v>
      </c>
      <c r="B114" s="19" t="s">
        <v>113</v>
      </c>
      <c r="C114" s="19" t="s">
        <v>56</v>
      </c>
      <c r="D114" s="18" t="s">
        <v>114</v>
      </c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41">
        <f t="shared" si="13"/>
        <v>0</v>
      </c>
    </row>
    <row r="115" spans="1:15" s="13" customFormat="1" ht="47.25" x14ac:dyDescent="0.25">
      <c r="A115" s="25" t="s">
        <v>177</v>
      </c>
      <c r="B115" s="25"/>
      <c r="C115" s="25"/>
      <c r="D115" s="26" t="s">
        <v>22</v>
      </c>
      <c r="E115" s="78">
        <f>E116</f>
        <v>1152.4000000000001</v>
      </c>
      <c r="F115" s="78">
        <f t="shared" ref="F115:N115" si="20">F116</f>
        <v>0</v>
      </c>
      <c r="G115" s="78">
        <f t="shared" si="20"/>
        <v>0</v>
      </c>
      <c r="H115" s="78">
        <f t="shared" si="20"/>
        <v>16253.897999999999</v>
      </c>
      <c r="I115" s="78">
        <f t="shared" si="20"/>
        <v>0</v>
      </c>
      <c r="J115" s="78">
        <f t="shared" si="20"/>
        <v>0</v>
      </c>
      <c r="K115" s="78">
        <f t="shared" si="20"/>
        <v>0</v>
      </c>
      <c r="L115" s="78">
        <f t="shared" si="20"/>
        <v>16253.897999999999</v>
      </c>
      <c r="M115" s="78">
        <f t="shared" si="20"/>
        <v>16253.897999999999</v>
      </c>
      <c r="N115" s="78">
        <f t="shared" si="20"/>
        <v>16253.897999999999</v>
      </c>
      <c r="O115" s="78">
        <f t="shared" si="13"/>
        <v>17406.297999999999</v>
      </c>
    </row>
    <row r="116" spans="1:15" ht="47.25" x14ac:dyDescent="0.25">
      <c r="A116" s="25" t="s">
        <v>178</v>
      </c>
      <c r="B116" s="19"/>
      <c r="C116" s="19"/>
      <c r="D116" s="26" t="s">
        <v>22</v>
      </c>
      <c r="E116" s="41">
        <f>E117+E118+E119+E120+E121+E122+E124+E125+E128+E130+E131+E132</f>
        <v>1152.4000000000001</v>
      </c>
      <c r="F116" s="41">
        <f>F117+F118+F119+F120+F121+F122+F125+F128+F130+F131+F132</f>
        <v>0</v>
      </c>
      <c r="G116" s="41">
        <f>G117+G118+G119+G120+G121+G122+G125+G128+G130+G131+G132</f>
        <v>0</v>
      </c>
      <c r="H116" s="41">
        <f>I116+L116</f>
        <v>16253.897999999999</v>
      </c>
      <c r="I116" s="41">
        <f>I117+I118+I119+I120+I121+I122+I125+I128+I130+I131+I132+I133+I123+I124+I126</f>
        <v>0</v>
      </c>
      <c r="J116" s="41">
        <f>J117+J118+J119+J120+J121+J122+J125+J128+J130+J131+J132+J133+J123+J124+J126</f>
        <v>0</v>
      </c>
      <c r="K116" s="41">
        <f>K117+K118+K119+K120+K121+K122+K125+K128+K130+K131+K132+K133+K123+K124+K126</f>
        <v>0</v>
      </c>
      <c r="L116" s="41">
        <f>L117+L118+L119+L120+L121+L122+L125+L127+L128+L129+L130+L131+L132+L133+L123+L124+L126</f>
        <v>16253.897999999999</v>
      </c>
      <c r="M116" s="41">
        <f>M117+M118+M119+M120+M121+M122+M125+M127+M128+M129+M130+M131+M132+M133+M123+M124+M126</f>
        <v>16253.897999999999</v>
      </c>
      <c r="N116" s="41">
        <f>N117+N118+N119+N120+N121+N122+N125+N127+N128+N129+N130+N131+N132+N133+N123+N124+N126</f>
        <v>16253.897999999999</v>
      </c>
      <c r="O116" s="78">
        <f t="shared" ref="O116:O124" si="21">E116+H116</f>
        <v>17406.297999999999</v>
      </c>
    </row>
    <row r="117" spans="1:15" ht="47.25" hidden="1" x14ac:dyDescent="0.25">
      <c r="A117" s="19" t="s">
        <v>179</v>
      </c>
      <c r="B117" s="19" t="s">
        <v>124</v>
      </c>
      <c r="C117" s="19" t="s">
        <v>32</v>
      </c>
      <c r="D117" s="18" t="s">
        <v>126</v>
      </c>
      <c r="E117" s="24"/>
      <c r="F117" s="24"/>
      <c r="G117" s="24"/>
      <c r="H117" s="24">
        <f t="shared" ref="H117:H133" si="22">I117+L117</f>
        <v>0</v>
      </c>
      <c r="I117" s="24"/>
      <c r="J117" s="24"/>
      <c r="K117" s="24"/>
      <c r="L117" s="24"/>
      <c r="M117" s="24"/>
      <c r="N117" s="24"/>
      <c r="O117" s="24">
        <f t="shared" si="21"/>
        <v>0</v>
      </c>
    </row>
    <row r="118" spans="1:15" ht="15.75" hidden="1" x14ac:dyDescent="0.25">
      <c r="A118" s="19" t="s">
        <v>301</v>
      </c>
      <c r="B118" s="19" t="s">
        <v>300</v>
      </c>
      <c r="C118" s="19" t="s">
        <v>252</v>
      </c>
      <c r="D118" s="18" t="s">
        <v>253</v>
      </c>
      <c r="E118" s="24"/>
      <c r="F118" s="24"/>
      <c r="G118" s="24"/>
      <c r="H118" s="41"/>
      <c r="I118" s="24"/>
      <c r="J118" s="24"/>
      <c r="K118" s="24"/>
      <c r="L118" s="24"/>
      <c r="M118" s="24"/>
      <c r="N118" s="24"/>
      <c r="O118" s="24">
        <f t="shared" si="21"/>
        <v>0</v>
      </c>
    </row>
    <row r="119" spans="1:15" ht="31.5" x14ac:dyDescent="0.25">
      <c r="A119" s="19" t="s">
        <v>201</v>
      </c>
      <c r="B119" s="19" t="s">
        <v>200</v>
      </c>
      <c r="C119" s="19" t="s">
        <v>40</v>
      </c>
      <c r="D119" s="12" t="s">
        <v>202</v>
      </c>
      <c r="E119" s="77"/>
      <c r="F119" s="24"/>
      <c r="G119" s="24"/>
      <c r="H119" s="24">
        <f t="shared" si="22"/>
        <v>5704</v>
      </c>
      <c r="I119" s="24"/>
      <c r="J119" s="24"/>
      <c r="K119" s="24"/>
      <c r="L119" s="24">
        <f>80+40+392+6692-1500</f>
        <v>5704</v>
      </c>
      <c r="M119" s="24">
        <f>80+40+392+6692-1500</f>
        <v>5704</v>
      </c>
      <c r="N119" s="24">
        <f>80+40+392+6692-1500</f>
        <v>5704</v>
      </c>
      <c r="O119" s="24">
        <f t="shared" si="21"/>
        <v>5704</v>
      </c>
    </row>
    <row r="120" spans="1:15" ht="31.5" hidden="1" x14ac:dyDescent="0.25">
      <c r="A120" s="19" t="s">
        <v>261</v>
      </c>
      <c r="B120" s="19" t="s">
        <v>260</v>
      </c>
      <c r="C120" s="19" t="s">
        <v>40</v>
      </c>
      <c r="D120" s="12" t="s">
        <v>262</v>
      </c>
      <c r="E120" s="77"/>
      <c r="F120" s="24"/>
      <c r="G120" s="24"/>
      <c r="H120" s="24">
        <f t="shared" si="22"/>
        <v>0</v>
      </c>
      <c r="I120" s="24"/>
      <c r="J120" s="24"/>
      <c r="K120" s="24"/>
      <c r="L120" s="24"/>
      <c r="M120" s="24"/>
      <c r="N120" s="24"/>
      <c r="O120" s="24">
        <f t="shared" si="21"/>
        <v>0</v>
      </c>
    </row>
    <row r="121" spans="1:15" ht="31.5" x14ac:dyDescent="0.25">
      <c r="A121" s="19" t="s">
        <v>204</v>
      </c>
      <c r="B121" s="19" t="s">
        <v>203</v>
      </c>
      <c r="C121" s="19" t="s">
        <v>40</v>
      </c>
      <c r="D121" s="12" t="s">
        <v>205</v>
      </c>
      <c r="E121" s="77"/>
      <c r="F121" s="24"/>
      <c r="G121" s="24"/>
      <c r="H121" s="24">
        <f t="shared" si="22"/>
        <v>363.3</v>
      </c>
      <c r="I121" s="24"/>
      <c r="J121" s="24"/>
      <c r="K121" s="24"/>
      <c r="L121" s="24">
        <v>363.3</v>
      </c>
      <c r="M121" s="24">
        <v>363.3</v>
      </c>
      <c r="N121" s="24">
        <v>363.3</v>
      </c>
      <c r="O121" s="24">
        <f t="shared" si="21"/>
        <v>363.3</v>
      </c>
    </row>
    <row r="122" spans="1:15" ht="31.5" x14ac:dyDescent="0.25">
      <c r="A122" s="19" t="s">
        <v>255</v>
      </c>
      <c r="B122" s="19" t="s">
        <v>254</v>
      </c>
      <c r="C122" s="19" t="s">
        <v>40</v>
      </c>
      <c r="D122" s="12" t="s">
        <v>256</v>
      </c>
      <c r="E122" s="77"/>
      <c r="F122" s="24"/>
      <c r="G122" s="24"/>
      <c r="H122" s="24">
        <f t="shared" si="22"/>
        <v>3850</v>
      </c>
      <c r="I122" s="24"/>
      <c r="J122" s="24"/>
      <c r="K122" s="24"/>
      <c r="L122" s="24">
        <v>3850</v>
      </c>
      <c r="M122" s="24">
        <v>3850</v>
      </c>
      <c r="N122" s="24">
        <v>3850</v>
      </c>
      <c r="O122" s="24">
        <f t="shared" si="21"/>
        <v>3850</v>
      </c>
    </row>
    <row r="123" spans="1:15" ht="47.25" x14ac:dyDescent="0.25">
      <c r="A123" s="19" t="s">
        <v>332</v>
      </c>
      <c r="B123" s="19" t="s">
        <v>333</v>
      </c>
      <c r="C123" s="19" t="s">
        <v>40</v>
      </c>
      <c r="D123" s="12" t="s">
        <v>334</v>
      </c>
      <c r="E123" s="77"/>
      <c r="F123" s="24"/>
      <c r="G123" s="24"/>
      <c r="H123" s="24">
        <f t="shared" si="22"/>
        <v>81.093999999999994</v>
      </c>
      <c r="I123" s="24"/>
      <c r="J123" s="24"/>
      <c r="K123" s="24"/>
      <c r="L123" s="24">
        <v>81.093999999999994</v>
      </c>
      <c r="M123" s="24">
        <v>81.093999999999994</v>
      </c>
      <c r="N123" s="24">
        <v>81.093999999999994</v>
      </c>
      <c r="O123" s="24">
        <f t="shared" si="21"/>
        <v>81.093999999999994</v>
      </c>
    </row>
    <row r="124" spans="1:15" ht="33" customHeight="1" x14ac:dyDescent="0.25">
      <c r="A124" s="19" t="s">
        <v>335</v>
      </c>
      <c r="B124" s="19" t="s">
        <v>336</v>
      </c>
      <c r="C124" s="19" t="s">
        <v>40</v>
      </c>
      <c r="D124" s="12" t="s">
        <v>337</v>
      </c>
      <c r="E124" s="77">
        <v>200</v>
      </c>
      <c r="F124" s="24"/>
      <c r="G124" s="24"/>
      <c r="H124" s="24">
        <f t="shared" si="22"/>
        <v>1958</v>
      </c>
      <c r="I124" s="24"/>
      <c r="J124" s="24"/>
      <c r="K124" s="24"/>
      <c r="L124" s="24">
        <f>458+1500</f>
        <v>1958</v>
      </c>
      <c r="M124" s="24">
        <f>458+1500</f>
        <v>1958</v>
      </c>
      <c r="N124" s="24">
        <f>458+1500</f>
        <v>1958</v>
      </c>
      <c r="O124" s="24">
        <f t="shared" si="21"/>
        <v>2158</v>
      </c>
    </row>
    <row r="125" spans="1:15" s="16" customFormat="1" ht="18" customHeight="1" x14ac:dyDescent="0.25">
      <c r="A125" s="19" t="s">
        <v>180</v>
      </c>
      <c r="B125" s="19" t="s">
        <v>99</v>
      </c>
      <c r="C125" s="19" t="s">
        <v>40</v>
      </c>
      <c r="D125" s="18" t="s">
        <v>121</v>
      </c>
      <c r="E125" s="24">
        <v>200</v>
      </c>
      <c r="F125" s="24"/>
      <c r="G125" s="24"/>
      <c r="H125" s="24">
        <f t="shared" si="22"/>
        <v>435.404</v>
      </c>
      <c r="I125" s="24"/>
      <c r="J125" s="24"/>
      <c r="K125" s="24"/>
      <c r="L125" s="24">
        <f>18.468+18.468+18.468+200+180</f>
        <v>435.404</v>
      </c>
      <c r="M125" s="24">
        <f>18.468+18.468+18.468+200+180</f>
        <v>435.404</v>
      </c>
      <c r="N125" s="24">
        <f>18.468+18.468+18.468+200+180</f>
        <v>435.404</v>
      </c>
      <c r="O125" s="24">
        <f t="shared" ref="O125:O133" si="23">E125+H125</f>
        <v>635.404</v>
      </c>
    </row>
    <row r="126" spans="1:15" s="16" customFormat="1" ht="47.25" hidden="1" x14ac:dyDescent="0.25">
      <c r="A126" s="19" t="s">
        <v>338</v>
      </c>
      <c r="B126" s="19" t="s">
        <v>339</v>
      </c>
      <c r="C126" s="19" t="s">
        <v>40</v>
      </c>
      <c r="D126" s="18" t="s">
        <v>340</v>
      </c>
      <c r="E126" s="24"/>
      <c r="F126" s="24"/>
      <c r="G126" s="24"/>
      <c r="H126" s="24">
        <f t="shared" si="22"/>
        <v>0</v>
      </c>
      <c r="I126" s="24"/>
      <c r="J126" s="24"/>
      <c r="K126" s="24"/>
      <c r="L126" s="24"/>
      <c r="M126" s="24"/>
      <c r="N126" s="24"/>
      <c r="O126" s="24">
        <f t="shared" si="23"/>
        <v>0</v>
      </c>
    </row>
    <row r="127" spans="1:15" s="16" customFormat="1" ht="31.5" hidden="1" x14ac:dyDescent="0.25">
      <c r="A127" s="19" t="s">
        <v>349</v>
      </c>
      <c r="B127" s="19" t="s">
        <v>348</v>
      </c>
      <c r="C127" s="19" t="s">
        <v>265</v>
      </c>
      <c r="D127" s="18" t="s">
        <v>350</v>
      </c>
      <c r="E127" s="24"/>
      <c r="F127" s="24"/>
      <c r="G127" s="24"/>
      <c r="H127" s="24">
        <f t="shared" si="22"/>
        <v>0</v>
      </c>
      <c r="I127" s="24"/>
      <c r="J127" s="24"/>
      <c r="K127" s="24"/>
      <c r="L127" s="24"/>
      <c r="M127" s="24"/>
      <c r="N127" s="24"/>
      <c r="O127" s="24">
        <f t="shared" si="23"/>
        <v>0</v>
      </c>
    </row>
    <row r="128" spans="1:15" s="16" customFormat="1" ht="4.5" hidden="1" customHeight="1" x14ac:dyDescent="0.25">
      <c r="A128" s="19" t="s">
        <v>264</v>
      </c>
      <c r="B128" s="19" t="s">
        <v>263</v>
      </c>
      <c r="C128" s="19" t="s">
        <v>265</v>
      </c>
      <c r="D128" s="12" t="s">
        <v>266</v>
      </c>
      <c r="E128" s="24"/>
      <c r="F128" s="24"/>
      <c r="G128" s="24"/>
      <c r="H128" s="24">
        <f t="shared" si="22"/>
        <v>0</v>
      </c>
      <c r="I128" s="24"/>
      <c r="J128" s="24"/>
      <c r="K128" s="24"/>
      <c r="L128" s="24"/>
      <c r="M128" s="24"/>
      <c r="N128" s="24"/>
      <c r="O128" s="24">
        <f t="shared" si="23"/>
        <v>0</v>
      </c>
    </row>
    <row r="129" spans="1:15" s="16" customFormat="1" ht="15.75" x14ac:dyDescent="0.25">
      <c r="A129" s="19" t="s">
        <v>380</v>
      </c>
      <c r="B129" s="19" t="s">
        <v>211</v>
      </c>
      <c r="C129" s="19" t="s">
        <v>115</v>
      </c>
      <c r="D129" s="18" t="s">
        <v>213</v>
      </c>
      <c r="E129" s="24"/>
      <c r="F129" s="24"/>
      <c r="G129" s="24"/>
      <c r="H129" s="24">
        <f t="shared" si="22"/>
        <v>200</v>
      </c>
      <c r="I129" s="24"/>
      <c r="J129" s="24"/>
      <c r="K129" s="24"/>
      <c r="L129" s="24">
        <v>200</v>
      </c>
      <c r="M129" s="24">
        <v>200</v>
      </c>
      <c r="N129" s="24">
        <v>200</v>
      </c>
      <c r="O129" s="24">
        <f t="shared" si="23"/>
        <v>200</v>
      </c>
    </row>
    <row r="130" spans="1:15" s="16" customFormat="1" ht="31.5" x14ac:dyDescent="0.25">
      <c r="A130" s="19" t="s">
        <v>292</v>
      </c>
      <c r="B130" s="19" t="s">
        <v>291</v>
      </c>
      <c r="C130" s="19" t="s">
        <v>58</v>
      </c>
      <c r="D130" s="18" t="s">
        <v>258</v>
      </c>
      <c r="E130" s="24"/>
      <c r="F130" s="24"/>
      <c r="G130" s="24"/>
      <c r="H130" s="24">
        <f t="shared" si="22"/>
        <v>2267.5</v>
      </c>
      <c r="I130" s="24"/>
      <c r="J130" s="24"/>
      <c r="K130" s="24"/>
      <c r="L130" s="24">
        <f>1500+767.5</f>
        <v>2267.5</v>
      </c>
      <c r="M130" s="24">
        <f>1500+767.5</f>
        <v>2267.5</v>
      </c>
      <c r="N130" s="24">
        <f>1500+767.5</f>
        <v>2267.5</v>
      </c>
      <c r="O130" s="24">
        <f t="shared" si="23"/>
        <v>2267.5</v>
      </c>
    </row>
    <row r="131" spans="1:15" s="16" customFormat="1" ht="47.25" x14ac:dyDescent="0.25">
      <c r="A131" s="19" t="s">
        <v>257</v>
      </c>
      <c r="B131" s="19" t="s">
        <v>198</v>
      </c>
      <c r="C131" s="19" t="s">
        <v>100</v>
      </c>
      <c r="D131" s="12" t="s">
        <v>199</v>
      </c>
      <c r="E131" s="24">
        <v>752.4</v>
      </c>
      <c r="F131" s="24"/>
      <c r="G131" s="24"/>
      <c r="H131" s="24">
        <f>I131+L131</f>
        <v>1394.6</v>
      </c>
      <c r="I131" s="24"/>
      <c r="J131" s="24"/>
      <c r="K131" s="24"/>
      <c r="L131" s="24">
        <v>1394.6</v>
      </c>
      <c r="M131" s="24">
        <v>1394.6</v>
      </c>
      <c r="N131" s="24">
        <v>1394.6</v>
      </c>
      <c r="O131" s="24">
        <f>E131+H131</f>
        <v>2147</v>
      </c>
    </row>
    <row r="132" spans="1:15" s="16" customFormat="1" ht="15.75" hidden="1" x14ac:dyDescent="0.25">
      <c r="A132" s="19" t="s">
        <v>259</v>
      </c>
      <c r="B132" s="19" t="s">
        <v>196</v>
      </c>
      <c r="C132" s="19" t="s">
        <v>38</v>
      </c>
      <c r="D132" s="12" t="s">
        <v>39</v>
      </c>
      <c r="E132" s="24"/>
      <c r="F132" s="24"/>
      <c r="G132" s="24"/>
      <c r="H132" s="24">
        <f t="shared" si="22"/>
        <v>0</v>
      </c>
      <c r="I132" s="24"/>
      <c r="J132" s="24"/>
      <c r="K132" s="24"/>
      <c r="L132" s="24"/>
      <c r="M132" s="24"/>
      <c r="N132" s="24"/>
      <c r="O132" s="24">
        <f t="shared" si="23"/>
        <v>0</v>
      </c>
    </row>
    <row r="133" spans="1:15" s="16" customFormat="1" ht="31.5" hidden="1" x14ac:dyDescent="0.25">
      <c r="A133" s="19" t="s">
        <v>283</v>
      </c>
      <c r="B133" s="19" t="s">
        <v>274</v>
      </c>
      <c r="C133" s="19" t="s">
        <v>101</v>
      </c>
      <c r="D133" s="18" t="s">
        <v>295</v>
      </c>
      <c r="E133" s="24"/>
      <c r="F133" s="24"/>
      <c r="G133" s="24"/>
      <c r="H133" s="24">
        <f t="shared" si="22"/>
        <v>0</v>
      </c>
      <c r="I133" s="24"/>
      <c r="J133" s="24"/>
      <c r="K133" s="24"/>
      <c r="L133" s="24"/>
      <c r="M133" s="24"/>
      <c r="N133" s="24"/>
      <c r="O133" s="24">
        <f t="shared" si="23"/>
        <v>0</v>
      </c>
    </row>
    <row r="134" spans="1:15" s="13" customFormat="1" ht="47.25" x14ac:dyDescent="0.25">
      <c r="A134" s="25" t="s">
        <v>66</v>
      </c>
      <c r="B134" s="25"/>
      <c r="C134" s="25"/>
      <c r="D134" s="26" t="s">
        <v>27</v>
      </c>
      <c r="E134" s="41">
        <f>E135</f>
        <v>0</v>
      </c>
      <c r="F134" s="41">
        <f t="shared" ref="F134:O134" si="24">F135</f>
        <v>0</v>
      </c>
      <c r="G134" s="41">
        <f t="shared" si="24"/>
        <v>0</v>
      </c>
      <c r="H134" s="41">
        <f t="shared" si="24"/>
        <v>11183.483980000001</v>
      </c>
      <c r="I134" s="41">
        <f t="shared" si="24"/>
        <v>0</v>
      </c>
      <c r="J134" s="41">
        <f t="shared" si="24"/>
        <v>0</v>
      </c>
      <c r="K134" s="41">
        <f t="shared" si="24"/>
        <v>0</v>
      </c>
      <c r="L134" s="41">
        <f t="shared" si="24"/>
        <v>11183.483980000001</v>
      </c>
      <c r="M134" s="41">
        <f t="shared" si="24"/>
        <v>0</v>
      </c>
      <c r="N134" s="41">
        <f t="shared" si="24"/>
        <v>0</v>
      </c>
      <c r="O134" s="41">
        <f t="shared" si="24"/>
        <v>11183.483980000001</v>
      </c>
    </row>
    <row r="135" spans="1:15" ht="47.25" x14ac:dyDescent="0.25">
      <c r="A135" s="25" t="s">
        <v>67</v>
      </c>
      <c r="B135" s="19"/>
      <c r="C135" s="19"/>
      <c r="D135" s="26" t="s">
        <v>27</v>
      </c>
      <c r="E135" s="41">
        <f>E136+E137+E138+E140</f>
        <v>0</v>
      </c>
      <c r="F135" s="41">
        <f>F136+F137+F138+F140</f>
        <v>0</v>
      </c>
      <c r="G135" s="41">
        <f>G136+G137+G138+G140</f>
        <v>0</v>
      </c>
      <c r="H135" s="41">
        <f t="shared" ref="H135:H140" si="25">I135+L135</f>
        <v>11183.483980000001</v>
      </c>
      <c r="I135" s="41">
        <f t="shared" ref="I135:N135" si="26">I136+I137+I138+I139+I140</f>
        <v>0</v>
      </c>
      <c r="J135" s="41">
        <f t="shared" si="26"/>
        <v>0</v>
      </c>
      <c r="K135" s="41">
        <f t="shared" si="26"/>
        <v>0</v>
      </c>
      <c r="L135" s="41">
        <f t="shared" si="26"/>
        <v>11183.483980000001</v>
      </c>
      <c r="M135" s="41">
        <f t="shared" si="26"/>
        <v>0</v>
      </c>
      <c r="N135" s="41">
        <f t="shared" si="26"/>
        <v>0</v>
      </c>
      <c r="O135" s="41">
        <f t="shared" ref="O135:O140" si="27">E135+H135</f>
        <v>11183.483980000001</v>
      </c>
    </row>
    <row r="136" spans="1:15" ht="47.25" hidden="1" x14ac:dyDescent="0.25">
      <c r="A136" s="19" t="s">
        <v>184</v>
      </c>
      <c r="B136" s="19" t="s">
        <v>124</v>
      </c>
      <c r="C136" s="19" t="s">
        <v>32</v>
      </c>
      <c r="D136" s="18" t="s">
        <v>126</v>
      </c>
      <c r="E136" s="24"/>
      <c r="F136" s="24"/>
      <c r="G136" s="24"/>
      <c r="H136" s="24">
        <f t="shared" si="25"/>
        <v>0</v>
      </c>
      <c r="I136" s="24"/>
      <c r="J136" s="24"/>
      <c r="K136" s="24"/>
      <c r="L136" s="24"/>
      <c r="M136" s="24"/>
      <c r="N136" s="24"/>
      <c r="O136" s="24">
        <f t="shared" si="27"/>
        <v>0</v>
      </c>
    </row>
    <row r="137" spans="1:15" ht="31.5" hidden="1" x14ac:dyDescent="0.25">
      <c r="A137" s="19" t="s">
        <v>269</v>
      </c>
      <c r="B137" s="19" t="s">
        <v>267</v>
      </c>
      <c r="C137" s="19" t="s">
        <v>98</v>
      </c>
      <c r="D137" s="18" t="s">
        <v>268</v>
      </c>
      <c r="E137" s="24"/>
      <c r="F137" s="24"/>
      <c r="G137" s="24"/>
      <c r="H137" s="24">
        <f t="shared" si="25"/>
        <v>0</v>
      </c>
      <c r="I137" s="24"/>
      <c r="J137" s="24"/>
      <c r="K137" s="24"/>
      <c r="L137" s="24"/>
      <c r="M137" s="24"/>
      <c r="N137" s="24"/>
      <c r="O137" s="24">
        <f t="shared" si="27"/>
        <v>0</v>
      </c>
    </row>
    <row r="138" spans="1:15" ht="31.5" hidden="1" x14ac:dyDescent="0.25">
      <c r="A138" s="19" t="s">
        <v>293</v>
      </c>
      <c r="B138" s="19" t="s">
        <v>291</v>
      </c>
      <c r="C138" s="19" t="s">
        <v>58</v>
      </c>
      <c r="D138" s="18" t="s">
        <v>258</v>
      </c>
      <c r="E138" s="24"/>
      <c r="F138" s="24"/>
      <c r="G138" s="24"/>
      <c r="H138" s="24">
        <f t="shared" si="25"/>
        <v>0</v>
      </c>
      <c r="I138" s="24"/>
      <c r="J138" s="24"/>
      <c r="K138" s="24"/>
      <c r="L138" s="24"/>
      <c r="M138" s="24"/>
      <c r="N138" s="24"/>
      <c r="O138" s="24">
        <f t="shared" si="27"/>
        <v>0</v>
      </c>
    </row>
    <row r="139" spans="1:15" ht="31.5" hidden="1" x14ac:dyDescent="0.25">
      <c r="A139" s="19" t="s">
        <v>271</v>
      </c>
      <c r="B139" s="19" t="s">
        <v>270</v>
      </c>
      <c r="C139" s="19" t="s">
        <v>273</v>
      </c>
      <c r="D139" s="18" t="s">
        <v>272</v>
      </c>
      <c r="E139" s="24"/>
      <c r="F139" s="24"/>
      <c r="G139" s="24"/>
      <c r="H139" s="24">
        <f>I139+L139</f>
        <v>0</v>
      </c>
      <c r="I139" s="24"/>
      <c r="J139" s="24"/>
      <c r="K139" s="24"/>
      <c r="L139" s="24"/>
      <c r="M139" s="24"/>
      <c r="N139" s="24"/>
      <c r="O139" s="24">
        <f t="shared" si="27"/>
        <v>0</v>
      </c>
    </row>
    <row r="140" spans="1:15" ht="146.25" customHeight="1" x14ac:dyDescent="0.25">
      <c r="A140" s="19" t="s">
        <v>371</v>
      </c>
      <c r="B140" s="19" t="s">
        <v>372</v>
      </c>
      <c r="C140" s="19" t="s">
        <v>58</v>
      </c>
      <c r="D140" s="18" t="s">
        <v>373</v>
      </c>
      <c r="E140" s="24"/>
      <c r="F140" s="24"/>
      <c r="G140" s="24"/>
      <c r="H140" s="24">
        <f t="shared" si="25"/>
        <v>11183.483980000001</v>
      </c>
      <c r="I140" s="24"/>
      <c r="J140" s="24"/>
      <c r="K140" s="24"/>
      <c r="L140" s="24">
        <v>11183.483980000001</v>
      </c>
      <c r="M140" s="24"/>
      <c r="N140" s="24"/>
      <c r="O140" s="24">
        <f t="shared" si="27"/>
        <v>11183.483980000001</v>
      </c>
    </row>
    <row r="141" spans="1:15" s="13" customFormat="1" ht="47.25" hidden="1" x14ac:dyDescent="0.25">
      <c r="A141" s="25" t="s">
        <v>181</v>
      </c>
      <c r="B141" s="25"/>
      <c r="C141" s="25"/>
      <c r="D141" s="26" t="s">
        <v>24</v>
      </c>
      <c r="E141" s="41">
        <f>E142</f>
        <v>0</v>
      </c>
      <c r="F141" s="41">
        <f t="shared" ref="F141:O141" si="28">F142</f>
        <v>0</v>
      </c>
      <c r="G141" s="41">
        <f t="shared" si="28"/>
        <v>0</v>
      </c>
      <c r="H141" s="41">
        <f t="shared" si="28"/>
        <v>0</v>
      </c>
      <c r="I141" s="41">
        <f t="shared" si="28"/>
        <v>0</v>
      </c>
      <c r="J141" s="41">
        <f t="shared" si="28"/>
        <v>0</v>
      </c>
      <c r="K141" s="41">
        <f t="shared" si="28"/>
        <v>0</v>
      </c>
      <c r="L141" s="41">
        <f t="shared" si="28"/>
        <v>0</v>
      </c>
      <c r="M141" s="41">
        <f t="shared" si="28"/>
        <v>0</v>
      </c>
      <c r="N141" s="41">
        <f t="shared" si="28"/>
        <v>0</v>
      </c>
      <c r="O141" s="41">
        <f t="shared" si="28"/>
        <v>0</v>
      </c>
    </row>
    <row r="142" spans="1:15" ht="47.25" hidden="1" x14ac:dyDescent="0.25">
      <c r="A142" s="25" t="s">
        <v>182</v>
      </c>
      <c r="B142" s="19"/>
      <c r="C142" s="19"/>
      <c r="D142" s="26" t="s">
        <v>24</v>
      </c>
      <c r="E142" s="41">
        <f>E143+E144+E145</f>
        <v>0</v>
      </c>
      <c r="F142" s="41">
        <f>F143+F144+F145</f>
        <v>0</v>
      </c>
      <c r="G142" s="41">
        <f>G143+G144+G145</f>
        <v>0</v>
      </c>
      <c r="H142" s="41">
        <f>I142+L142</f>
        <v>0</v>
      </c>
      <c r="I142" s="41">
        <f t="shared" ref="I142:N142" si="29">I143+I144+I145</f>
        <v>0</v>
      </c>
      <c r="J142" s="41">
        <f t="shared" si="29"/>
        <v>0</v>
      </c>
      <c r="K142" s="41">
        <f t="shared" si="29"/>
        <v>0</v>
      </c>
      <c r="L142" s="41">
        <f t="shared" si="29"/>
        <v>0</v>
      </c>
      <c r="M142" s="41">
        <f t="shared" si="29"/>
        <v>0</v>
      </c>
      <c r="N142" s="41">
        <f t="shared" si="29"/>
        <v>0</v>
      </c>
      <c r="O142" s="41">
        <f>E142+H142</f>
        <v>0</v>
      </c>
    </row>
    <row r="143" spans="1:15" ht="47.25" hidden="1" x14ac:dyDescent="0.25">
      <c r="A143" s="19" t="s">
        <v>183</v>
      </c>
      <c r="B143" s="19" t="s">
        <v>124</v>
      </c>
      <c r="C143" s="19" t="s">
        <v>32</v>
      </c>
      <c r="D143" s="18" t="s">
        <v>126</v>
      </c>
      <c r="E143" s="24"/>
      <c r="F143" s="24"/>
      <c r="G143" s="24"/>
      <c r="H143" s="24">
        <f>I143+L143</f>
        <v>0</v>
      </c>
      <c r="I143" s="24"/>
      <c r="J143" s="24"/>
      <c r="K143" s="24"/>
      <c r="L143" s="24"/>
      <c r="M143" s="24"/>
      <c r="N143" s="24"/>
      <c r="O143" s="24">
        <f>E143+H143</f>
        <v>0</v>
      </c>
    </row>
    <row r="144" spans="1:15" ht="31.5" hidden="1" x14ac:dyDescent="0.25">
      <c r="A144" s="19" t="s">
        <v>331</v>
      </c>
      <c r="B144" s="19" t="s">
        <v>41</v>
      </c>
      <c r="C144" s="19" t="s">
        <v>37</v>
      </c>
      <c r="D144" s="18" t="s">
        <v>207</v>
      </c>
      <c r="E144" s="24"/>
      <c r="F144" s="24"/>
      <c r="G144" s="24"/>
      <c r="H144" s="24">
        <f>I144+L144</f>
        <v>0</v>
      </c>
      <c r="I144" s="24"/>
      <c r="J144" s="24"/>
      <c r="K144" s="24"/>
      <c r="L144" s="24"/>
      <c r="M144" s="24"/>
      <c r="N144" s="24"/>
      <c r="O144" s="24">
        <f>E144+H144</f>
        <v>0</v>
      </c>
    </row>
    <row r="145" spans="1:15" ht="31.5" hidden="1" x14ac:dyDescent="0.25">
      <c r="A145" s="19" t="s">
        <v>352</v>
      </c>
      <c r="B145" s="19" t="s">
        <v>263</v>
      </c>
      <c r="C145" s="19" t="s">
        <v>265</v>
      </c>
      <c r="D145" s="18" t="s">
        <v>266</v>
      </c>
      <c r="E145" s="24"/>
      <c r="F145" s="24"/>
      <c r="G145" s="24"/>
      <c r="H145" s="24">
        <f>I145+L145</f>
        <v>0</v>
      </c>
      <c r="I145" s="24"/>
      <c r="J145" s="24"/>
      <c r="K145" s="24"/>
      <c r="L145" s="24"/>
      <c r="M145" s="24"/>
      <c r="N145" s="24"/>
      <c r="O145" s="24">
        <f>E145+H145</f>
        <v>0</v>
      </c>
    </row>
    <row r="146" spans="1:15" ht="47.25" hidden="1" x14ac:dyDescent="0.25">
      <c r="A146" s="25" t="s">
        <v>185</v>
      </c>
      <c r="B146" s="25"/>
      <c r="C146" s="25"/>
      <c r="D146" s="26" t="s">
        <v>23</v>
      </c>
      <c r="E146" s="41">
        <f>E147</f>
        <v>0</v>
      </c>
      <c r="F146" s="41">
        <f t="shared" ref="F146:O146" si="30">F147</f>
        <v>0</v>
      </c>
      <c r="G146" s="41">
        <f t="shared" si="30"/>
        <v>0</v>
      </c>
      <c r="H146" s="41">
        <f t="shared" si="30"/>
        <v>0</v>
      </c>
      <c r="I146" s="41">
        <f t="shared" si="30"/>
        <v>0</v>
      </c>
      <c r="J146" s="41">
        <f t="shared" si="30"/>
        <v>0</v>
      </c>
      <c r="K146" s="41">
        <f t="shared" si="30"/>
        <v>0</v>
      </c>
      <c r="L146" s="41">
        <f t="shared" si="30"/>
        <v>0</v>
      </c>
      <c r="M146" s="41">
        <f t="shared" si="30"/>
        <v>0</v>
      </c>
      <c r="N146" s="41">
        <f t="shared" si="30"/>
        <v>0</v>
      </c>
      <c r="O146" s="41">
        <f t="shared" si="30"/>
        <v>0</v>
      </c>
    </row>
    <row r="147" spans="1:15" ht="47.25" hidden="1" x14ac:dyDescent="0.25">
      <c r="A147" s="25" t="s">
        <v>186</v>
      </c>
      <c r="B147" s="19"/>
      <c r="C147" s="19"/>
      <c r="D147" s="26" t="s">
        <v>23</v>
      </c>
      <c r="E147" s="41">
        <f>E148+E149+E150+E151+E152</f>
        <v>0</v>
      </c>
      <c r="F147" s="41">
        <f>F148+F149+F150+F151+F152</f>
        <v>0</v>
      </c>
      <c r="G147" s="41">
        <f>G148+G149+G150+G151+G152</f>
        <v>0</v>
      </c>
      <c r="H147" s="41">
        <f>I147+L147</f>
        <v>0</v>
      </c>
      <c r="I147" s="41">
        <f t="shared" ref="I147:N147" si="31">I148+I149+I150+I151+I152</f>
        <v>0</v>
      </c>
      <c r="J147" s="41">
        <f t="shared" si="31"/>
        <v>0</v>
      </c>
      <c r="K147" s="41">
        <f t="shared" si="31"/>
        <v>0</v>
      </c>
      <c r="L147" s="41">
        <f t="shared" si="31"/>
        <v>0</v>
      </c>
      <c r="M147" s="41">
        <f t="shared" si="31"/>
        <v>0</v>
      </c>
      <c r="N147" s="41">
        <f t="shared" si="31"/>
        <v>0</v>
      </c>
      <c r="O147" s="41">
        <f t="shared" ref="O147:O152" si="32">E147+H147</f>
        <v>0</v>
      </c>
    </row>
    <row r="148" spans="1:15" ht="47.25" hidden="1" x14ac:dyDescent="0.25">
      <c r="A148" s="19" t="s">
        <v>187</v>
      </c>
      <c r="B148" s="19" t="s">
        <v>124</v>
      </c>
      <c r="C148" s="19" t="s">
        <v>32</v>
      </c>
      <c r="D148" s="18" t="s">
        <v>126</v>
      </c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>
        <f t="shared" si="32"/>
        <v>0</v>
      </c>
    </row>
    <row r="149" spans="1:15" ht="31.5" hidden="1" x14ac:dyDescent="0.25">
      <c r="A149" s="19" t="s">
        <v>206</v>
      </c>
      <c r="B149" s="19" t="s">
        <v>41</v>
      </c>
      <c r="C149" s="19" t="s">
        <v>37</v>
      </c>
      <c r="D149" s="18" t="s">
        <v>207</v>
      </c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>
        <f t="shared" si="32"/>
        <v>0</v>
      </c>
    </row>
    <row r="150" spans="1:15" ht="15.75" hidden="1" x14ac:dyDescent="0.25">
      <c r="A150" s="19" t="s">
        <v>212</v>
      </c>
      <c r="B150" s="19" t="s">
        <v>211</v>
      </c>
      <c r="C150" s="19" t="s">
        <v>115</v>
      </c>
      <c r="D150" s="18" t="s">
        <v>213</v>
      </c>
      <c r="E150" s="24"/>
      <c r="F150" s="24"/>
      <c r="G150" s="24"/>
      <c r="H150" s="24">
        <f>I150+L150</f>
        <v>0</v>
      </c>
      <c r="I150" s="24"/>
      <c r="J150" s="24"/>
      <c r="K150" s="24"/>
      <c r="L150" s="24"/>
      <c r="M150" s="24"/>
      <c r="N150" s="24"/>
      <c r="O150" s="24">
        <f t="shared" si="32"/>
        <v>0</v>
      </c>
    </row>
    <row r="151" spans="1:15" ht="31.5" hidden="1" x14ac:dyDescent="0.25">
      <c r="A151" s="19" t="s">
        <v>294</v>
      </c>
      <c r="B151" s="19" t="s">
        <v>291</v>
      </c>
      <c r="C151" s="19" t="s">
        <v>58</v>
      </c>
      <c r="D151" s="18" t="s">
        <v>258</v>
      </c>
      <c r="E151" s="24"/>
      <c r="F151" s="24"/>
      <c r="G151" s="24"/>
      <c r="H151" s="24">
        <f>I151+L151</f>
        <v>0</v>
      </c>
      <c r="I151" s="24"/>
      <c r="J151" s="24"/>
      <c r="K151" s="24"/>
      <c r="L151" s="24"/>
      <c r="M151" s="24"/>
      <c r="N151" s="24"/>
      <c r="O151" s="24">
        <f t="shared" si="32"/>
        <v>0</v>
      </c>
    </row>
    <row r="152" spans="1:15" ht="31.5" hidden="1" x14ac:dyDescent="0.25">
      <c r="A152" s="19" t="s">
        <v>209</v>
      </c>
      <c r="B152" s="19" t="s">
        <v>208</v>
      </c>
      <c r="C152" s="19" t="s">
        <v>58</v>
      </c>
      <c r="D152" s="18" t="s">
        <v>210</v>
      </c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>
        <f t="shared" si="32"/>
        <v>0</v>
      </c>
    </row>
    <row r="153" spans="1:15" s="16" customFormat="1" ht="51" customHeight="1" x14ac:dyDescent="0.25">
      <c r="A153" s="25" t="s">
        <v>185</v>
      </c>
      <c r="B153" s="86"/>
      <c r="C153" s="86"/>
      <c r="D153" s="87" t="s">
        <v>385</v>
      </c>
      <c r="E153" s="88"/>
      <c r="F153" s="24"/>
      <c r="G153" s="24"/>
      <c r="H153" s="41">
        <f>I153+L153</f>
        <v>135</v>
      </c>
      <c r="I153" s="41"/>
      <c r="J153" s="41"/>
      <c r="K153" s="41"/>
      <c r="L153" s="41">
        <f t="shared" ref="L153:O154" si="33">L154</f>
        <v>135</v>
      </c>
      <c r="M153" s="41">
        <f t="shared" si="33"/>
        <v>135</v>
      </c>
      <c r="N153" s="41">
        <f t="shared" si="33"/>
        <v>135</v>
      </c>
      <c r="O153" s="41">
        <f t="shared" si="33"/>
        <v>135</v>
      </c>
    </row>
    <row r="154" spans="1:15" s="16" customFormat="1" ht="48" customHeight="1" x14ac:dyDescent="0.25">
      <c r="A154" s="25" t="s">
        <v>186</v>
      </c>
      <c r="B154" s="86"/>
      <c r="C154" s="86"/>
      <c r="D154" s="87" t="s">
        <v>385</v>
      </c>
      <c r="E154" s="88"/>
      <c r="F154" s="24"/>
      <c r="G154" s="24"/>
      <c r="H154" s="41">
        <f>I154+L154</f>
        <v>135</v>
      </c>
      <c r="I154" s="41"/>
      <c r="J154" s="41"/>
      <c r="K154" s="41"/>
      <c r="L154" s="41">
        <f t="shared" si="33"/>
        <v>135</v>
      </c>
      <c r="M154" s="41">
        <f t="shared" si="33"/>
        <v>135</v>
      </c>
      <c r="N154" s="41">
        <f t="shared" si="33"/>
        <v>135</v>
      </c>
      <c r="O154" s="41">
        <f t="shared" si="33"/>
        <v>135</v>
      </c>
    </row>
    <row r="155" spans="1:15" s="16" customFormat="1" ht="31.5" x14ac:dyDescent="0.25">
      <c r="A155" s="19" t="s">
        <v>294</v>
      </c>
      <c r="B155" s="89" t="s">
        <v>291</v>
      </c>
      <c r="C155" s="89" t="s">
        <v>58</v>
      </c>
      <c r="D155" s="90" t="s">
        <v>258</v>
      </c>
      <c r="E155" s="24"/>
      <c r="F155" s="24"/>
      <c r="G155" s="24"/>
      <c r="H155" s="24">
        <f>I155+L155</f>
        <v>135</v>
      </c>
      <c r="I155" s="24"/>
      <c r="J155" s="24"/>
      <c r="K155" s="24"/>
      <c r="L155" s="24">
        <v>135</v>
      </c>
      <c r="M155" s="24">
        <v>135</v>
      </c>
      <c r="N155" s="24">
        <v>135</v>
      </c>
      <c r="O155" s="24">
        <f>E155+H155</f>
        <v>135</v>
      </c>
    </row>
    <row r="156" spans="1:15" s="13" customFormat="1" ht="31.5" x14ac:dyDescent="0.25">
      <c r="A156" s="25" t="s">
        <v>188</v>
      </c>
      <c r="B156" s="25"/>
      <c r="C156" s="25"/>
      <c r="D156" s="26" t="s">
        <v>16</v>
      </c>
      <c r="E156" s="41">
        <f>E157</f>
        <v>2489.8000000000002</v>
      </c>
      <c r="F156" s="41">
        <f t="shared" ref="F156:O156" si="34">F157</f>
        <v>0</v>
      </c>
      <c r="G156" s="41">
        <f t="shared" si="34"/>
        <v>0</v>
      </c>
      <c r="H156" s="41">
        <f t="shared" si="34"/>
        <v>-10728.8</v>
      </c>
      <c r="I156" s="41">
        <f t="shared" si="34"/>
        <v>0</v>
      </c>
      <c r="J156" s="41">
        <f t="shared" si="34"/>
        <v>0</v>
      </c>
      <c r="K156" s="41">
        <f t="shared" si="34"/>
        <v>0</v>
      </c>
      <c r="L156" s="41">
        <f t="shared" si="34"/>
        <v>-10728.8</v>
      </c>
      <c r="M156" s="41">
        <f t="shared" si="34"/>
        <v>-10728.8</v>
      </c>
      <c r="N156" s="41">
        <f t="shared" si="34"/>
        <v>-10728.8</v>
      </c>
      <c r="O156" s="41">
        <f t="shared" si="34"/>
        <v>-8239</v>
      </c>
    </row>
    <row r="157" spans="1:15" ht="34.5" customHeight="1" x14ac:dyDescent="0.25">
      <c r="A157" s="25" t="s">
        <v>189</v>
      </c>
      <c r="B157" s="19"/>
      <c r="C157" s="19"/>
      <c r="D157" s="26" t="s">
        <v>16</v>
      </c>
      <c r="E157" s="41">
        <f>E158+E159+E160+E161+E162+E165</f>
        <v>2489.8000000000002</v>
      </c>
      <c r="F157" s="41">
        <f>F158+F159+F160+F161+F165</f>
        <v>0</v>
      </c>
      <c r="G157" s="41">
        <f>G158+G159+G160+G161+G165</f>
        <v>0</v>
      </c>
      <c r="H157" s="41">
        <f>I157+L157</f>
        <v>-10728.8</v>
      </c>
      <c r="I157" s="41">
        <f>I158+I159+I160+I161+I165</f>
        <v>0</v>
      </c>
      <c r="J157" s="41">
        <f>J158+J159+J160+J161+J165</f>
        <v>0</v>
      </c>
      <c r="K157" s="41">
        <f>K158+K159+K160+K161+K165</f>
        <v>0</v>
      </c>
      <c r="L157" s="41">
        <f>L158+L159+L160+L161+L165+L162</f>
        <v>-10728.8</v>
      </c>
      <c r="M157" s="41">
        <f>M158+M159+M160+M161+M165+M162</f>
        <v>-10728.8</v>
      </c>
      <c r="N157" s="41">
        <f>N158+N159+N160+N161+N165+N162</f>
        <v>-10728.8</v>
      </c>
      <c r="O157" s="41">
        <f t="shared" ref="O157:O162" si="35">E157+H157</f>
        <v>-8239</v>
      </c>
    </row>
    <row r="158" spans="1:15" ht="47.25" hidden="1" x14ac:dyDescent="0.25">
      <c r="A158" s="19" t="s">
        <v>190</v>
      </c>
      <c r="B158" s="19" t="s">
        <v>124</v>
      </c>
      <c r="C158" s="19" t="s">
        <v>32</v>
      </c>
      <c r="D158" s="18" t="s">
        <v>126</v>
      </c>
      <c r="E158" s="24"/>
      <c r="F158" s="24"/>
      <c r="G158" s="24"/>
      <c r="H158" s="24">
        <f>I158+L158</f>
        <v>0</v>
      </c>
      <c r="I158" s="24"/>
      <c r="J158" s="24"/>
      <c r="K158" s="24"/>
      <c r="L158" s="24"/>
      <c r="M158" s="24"/>
      <c r="N158" s="24"/>
      <c r="O158" s="24">
        <f t="shared" si="35"/>
        <v>0</v>
      </c>
    </row>
    <row r="159" spans="1:15" ht="31.5" x14ac:dyDescent="0.25">
      <c r="A159" s="19" t="s">
        <v>214</v>
      </c>
      <c r="B159" s="19" t="s">
        <v>41</v>
      </c>
      <c r="C159" s="19" t="s">
        <v>37</v>
      </c>
      <c r="D159" s="18" t="s">
        <v>207</v>
      </c>
      <c r="E159" s="24">
        <v>85</v>
      </c>
      <c r="F159" s="24"/>
      <c r="G159" s="24"/>
      <c r="H159" s="24">
        <f>I159+L159</f>
        <v>-14710.8</v>
      </c>
      <c r="I159" s="24"/>
      <c r="J159" s="24"/>
      <c r="K159" s="24"/>
      <c r="L159" s="24">
        <f>-11000-512-1500-135-120-313-767.5-363.3</f>
        <v>-14710.8</v>
      </c>
      <c r="M159" s="24">
        <f>-11000-512-1500-135-120-313-767.5-363.3</f>
        <v>-14710.8</v>
      </c>
      <c r="N159" s="24">
        <f>-11000-512-1500-135-120-313-767.5-363.3</f>
        <v>-14710.8</v>
      </c>
      <c r="O159" s="24">
        <f t="shared" si="35"/>
        <v>-14625.8</v>
      </c>
    </row>
    <row r="160" spans="1:15" ht="15.75" hidden="1" x14ac:dyDescent="0.25">
      <c r="A160" s="19" t="s">
        <v>218</v>
      </c>
      <c r="B160" s="19" t="s">
        <v>217</v>
      </c>
      <c r="C160" s="19" t="s">
        <v>37</v>
      </c>
      <c r="D160" s="18" t="s">
        <v>12</v>
      </c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>
        <f t="shared" si="35"/>
        <v>0</v>
      </c>
    </row>
    <row r="161" spans="1:16" ht="15.75" hidden="1" x14ac:dyDescent="0.25">
      <c r="A161" s="19" t="s">
        <v>216</v>
      </c>
      <c r="B161" s="19" t="s">
        <v>215</v>
      </c>
      <c r="C161" s="19" t="s">
        <v>41</v>
      </c>
      <c r="D161" s="18" t="s">
        <v>13</v>
      </c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>
        <f t="shared" si="35"/>
        <v>0</v>
      </c>
    </row>
    <row r="162" spans="1:16" ht="15.75" x14ac:dyDescent="0.25">
      <c r="A162" s="19" t="s">
        <v>383</v>
      </c>
      <c r="B162" s="19" t="s">
        <v>381</v>
      </c>
      <c r="C162" s="19" t="s">
        <v>41</v>
      </c>
      <c r="D162" s="85" t="s">
        <v>382</v>
      </c>
      <c r="E162" s="24">
        <v>15</v>
      </c>
      <c r="F162" s="24"/>
      <c r="G162" s="24"/>
      <c r="H162" s="24">
        <f>L162</f>
        <v>313</v>
      </c>
      <c r="I162" s="24"/>
      <c r="J162" s="24"/>
      <c r="K162" s="24"/>
      <c r="L162" s="24">
        <f>L164</f>
        <v>313</v>
      </c>
      <c r="M162" s="24">
        <f>M164</f>
        <v>313</v>
      </c>
      <c r="N162" s="24">
        <f>N164</f>
        <v>313</v>
      </c>
      <c r="O162" s="24">
        <f t="shared" si="35"/>
        <v>328</v>
      </c>
    </row>
    <row r="163" spans="1:16" ht="15.75" x14ac:dyDescent="0.25">
      <c r="A163" s="19"/>
      <c r="B163" s="19"/>
      <c r="C163" s="19"/>
      <c r="D163" s="83" t="s">
        <v>376</v>
      </c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</row>
    <row r="164" spans="1:16" ht="51" customHeight="1" x14ac:dyDescent="0.25">
      <c r="A164" s="19"/>
      <c r="B164" s="19"/>
      <c r="C164" s="19"/>
      <c r="D164" s="82" t="s">
        <v>386</v>
      </c>
      <c r="E164" s="76">
        <v>15</v>
      </c>
      <c r="F164" s="76"/>
      <c r="G164" s="76"/>
      <c r="H164" s="76">
        <f>I164+L164</f>
        <v>313</v>
      </c>
      <c r="I164" s="76"/>
      <c r="J164" s="76"/>
      <c r="K164" s="76"/>
      <c r="L164" s="76">
        <v>313</v>
      </c>
      <c r="M164" s="76">
        <v>313</v>
      </c>
      <c r="N164" s="76">
        <v>313</v>
      </c>
      <c r="O164" s="76">
        <f>E164+H164</f>
        <v>328</v>
      </c>
    </row>
    <row r="165" spans="1:16" ht="47.25" x14ac:dyDescent="0.25">
      <c r="A165" s="19" t="s">
        <v>347</v>
      </c>
      <c r="B165" s="19" t="s">
        <v>341</v>
      </c>
      <c r="C165" s="19" t="s">
        <v>41</v>
      </c>
      <c r="D165" s="18" t="s">
        <v>342</v>
      </c>
      <c r="E165" s="24">
        <f>E167+E168+E169</f>
        <v>2389.8000000000002</v>
      </c>
      <c r="F165" s="24"/>
      <c r="G165" s="24"/>
      <c r="H165" s="24">
        <f>I165+L165</f>
        <v>3669</v>
      </c>
      <c r="I165" s="24"/>
      <c r="J165" s="24"/>
      <c r="K165" s="24"/>
      <c r="L165" s="24">
        <f>L167+L168+L169</f>
        <v>3669</v>
      </c>
      <c r="M165" s="24">
        <f>M167+M168+M169</f>
        <v>3669</v>
      </c>
      <c r="N165" s="24">
        <f>N167+N168+N169</f>
        <v>3669</v>
      </c>
      <c r="O165" s="24">
        <f>E165+H165</f>
        <v>6058.8</v>
      </c>
    </row>
    <row r="166" spans="1:16" s="84" customFormat="1" ht="15.75" x14ac:dyDescent="0.25">
      <c r="A166" s="35"/>
      <c r="B166" s="35"/>
      <c r="C166" s="35"/>
      <c r="D166" s="83" t="s">
        <v>376</v>
      </c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</row>
    <row r="167" spans="1:16" ht="72" customHeight="1" x14ac:dyDescent="0.25">
      <c r="A167" s="19"/>
      <c r="B167" s="19"/>
      <c r="C167" s="19"/>
      <c r="D167" s="81" t="s">
        <v>374</v>
      </c>
      <c r="E167" s="76">
        <v>1238.8</v>
      </c>
      <c r="F167" s="76"/>
      <c r="G167" s="76"/>
      <c r="H167" s="76">
        <f>I167+L167</f>
        <v>1630</v>
      </c>
      <c r="I167" s="76"/>
      <c r="J167" s="76"/>
      <c r="K167" s="76"/>
      <c r="L167" s="76">
        <v>1630</v>
      </c>
      <c r="M167" s="76">
        <v>1630</v>
      </c>
      <c r="N167" s="76">
        <v>1630</v>
      </c>
      <c r="O167" s="76">
        <f>E167+H167</f>
        <v>2868.8</v>
      </c>
    </row>
    <row r="168" spans="1:16" ht="37.5" customHeight="1" x14ac:dyDescent="0.25">
      <c r="A168" s="19"/>
      <c r="B168" s="19"/>
      <c r="C168" s="19"/>
      <c r="D168" s="82" t="s">
        <v>375</v>
      </c>
      <c r="E168" s="76">
        <v>850</v>
      </c>
      <c r="F168" s="76"/>
      <c r="G168" s="76"/>
      <c r="H168" s="76">
        <f>I168+L168</f>
        <v>1700</v>
      </c>
      <c r="I168" s="76"/>
      <c r="J168" s="76"/>
      <c r="K168" s="76"/>
      <c r="L168" s="76">
        <v>1700</v>
      </c>
      <c r="M168" s="76">
        <v>1700</v>
      </c>
      <c r="N168" s="76">
        <v>1700</v>
      </c>
      <c r="O168" s="76">
        <f>E168+H168</f>
        <v>2550</v>
      </c>
    </row>
    <row r="169" spans="1:16" ht="77.25" customHeight="1" x14ac:dyDescent="0.25">
      <c r="A169" s="19"/>
      <c r="B169" s="19"/>
      <c r="C169" s="19"/>
      <c r="D169" s="82" t="s">
        <v>384</v>
      </c>
      <c r="E169" s="76">
        <v>301</v>
      </c>
      <c r="F169" s="76"/>
      <c r="G169" s="76"/>
      <c r="H169" s="76">
        <f>I169+L169</f>
        <v>339</v>
      </c>
      <c r="I169" s="76"/>
      <c r="J169" s="76"/>
      <c r="K169" s="76"/>
      <c r="L169" s="76">
        <v>339</v>
      </c>
      <c r="M169" s="76">
        <v>339</v>
      </c>
      <c r="N169" s="76">
        <v>339</v>
      </c>
      <c r="O169" s="76">
        <f>E169+H169</f>
        <v>640</v>
      </c>
    </row>
    <row r="170" spans="1:16" ht="15.75" x14ac:dyDescent="0.25">
      <c r="A170" s="19"/>
      <c r="B170" s="19"/>
      <c r="C170" s="19"/>
      <c r="D170" s="40" t="s">
        <v>11</v>
      </c>
      <c r="E170" s="41">
        <f>E11+E33+E37+E41+E45+E66+E92+E97+E106+E115+E134+E141+E146+E156</f>
        <v>15052.279999999999</v>
      </c>
      <c r="F170" s="41">
        <f>F11+F33+F37+F41+F45+F66+F92+F97+F106+F115+F134+F141+F146+F156</f>
        <v>0</v>
      </c>
      <c r="G170" s="41">
        <f>G11+G33+G37+G41+G45+G66+G92+G97+G106+G115+G134+G141+G146+G156</f>
        <v>0</v>
      </c>
      <c r="H170" s="41">
        <f>I170+L170</f>
        <v>23544.036360000002</v>
      </c>
      <c r="I170" s="41">
        <f>I11+I33+I37+I41+I45+I66+I92+I97+I106+I115+I134+I141+I146+I156</f>
        <v>-50</v>
      </c>
      <c r="J170" s="41">
        <f>J11+J33+J37+J41+J45+J66+J92+J97+J106+J115+J134+J141+J146+J156</f>
        <v>0</v>
      </c>
      <c r="K170" s="41">
        <f>K11+K33+K37+K41+K45+K66+K92+K97+K106+K115+K134+K141+K146+K156</f>
        <v>0</v>
      </c>
      <c r="L170" s="41">
        <f>L11+L33+L37+L41+L45+L66+L92+L97+L106+L115+L134+L141+L146+L156+L153</f>
        <v>23594.036360000002</v>
      </c>
      <c r="M170" s="41">
        <f>M11+M33+M37+M41+M45+M66+M92+M97+M106+M115+M134+M141+M146+M156+M153</f>
        <v>12360.552380000001</v>
      </c>
      <c r="N170" s="41">
        <f>N11+N33+N37+N41+N45+N66+N92+N97+N106+N115+N134+N141+N146+N156+N153</f>
        <v>12360.552380000001</v>
      </c>
      <c r="O170" s="41">
        <f>E170+H170</f>
        <v>38596.316359999997</v>
      </c>
      <c r="P170" s="34"/>
    </row>
    <row r="171" spans="1:16" ht="15.75" x14ac:dyDescent="0.25">
      <c r="A171" s="42"/>
      <c r="B171" s="42"/>
      <c r="C171" s="42"/>
      <c r="D171" s="43"/>
      <c r="E171" s="43"/>
      <c r="F171" s="43"/>
      <c r="G171" s="43"/>
      <c r="H171" s="16"/>
      <c r="I171" s="16"/>
      <c r="J171" s="44"/>
      <c r="K171" s="44"/>
      <c r="L171" s="44"/>
      <c r="M171" s="44"/>
      <c r="N171" s="44"/>
      <c r="O171" s="44"/>
    </row>
    <row r="172" spans="1:16" s="22" customFormat="1" ht="18.75" x14ac:dyDescent="0.3">
      <c r="A172" s="42"/>
      <c r="B172" s="42"/>
      <c r="C172" s="42"/>
      <c r="D172" s="29" t="s">
        <v>108</v>
      </c>
      <c r="E172" s="45"/>
      <c r="F172" s="29"/>
      <c r="G172" s="29"/>
      <c r="H172" s="29"/>
      <c r="I172" s="29"/>
      <c r="J172" s="29"/>
      <c r="K172" s="29"/>
      <c r="L172" s="29" t="s">
        <v>109</v>
      </c>
      <c r="M172" s="29"/>
      <c r="N172" s="29"/>
      <c r="O172" s="29"/>
    </row>
    <row r="173" spans="1:16" s="2" customFormat="1" x14ac:dyDescent="0.25">
      <c r="A173" s="6"/>
      <c r="B173" s="6"/>
      <c r="C173" s="6"/>
      <c r="D173" s="32"/>
      <c r="E173" s="17"/>
      <c r="K173" s="32"/>
    </row>
    <row r="174" spans="1:16" x14ac:dyDescent="0.25">
      <c r="H174" s="14"/>
      <c r="I174" s="14"/>
      <c r="J174" s="14"/>
      <c r="K174" s="14"/>
      <c r="L174" s="14"/>
      <c r="M174" s="14"/>
      <c r="N174" s="14"/>
      <c r="O174" s="14"/>
    </row>
    <row r="175" spans="1:16" x14ac:dyDescent="0.25">
      <c r="H175" s="14"/>
      <c r="I175" s="14"/>
      <c r="J175" s="14"/>
      <c r="K175" s="14"/>
      <c r="L175" s="14"/>
      <c r="M175" s="14"/>
      <c r="N175" s="14"/>
      <c r="O175" s="14"/>
    </row>
  </sheetData>
  <mergeCells count="20">
    <mergeCell ref="J7:K7"/>
    <mergeCell ref="I7:I9"/>
    <mergeCell ref="H7:H9"/>
    <mergeCell ref="L7:L9"/>
    <mergeCell ref="M7:N7"/>
    <mergeCell ref="K8:K9"/>
    <mergeCell ref="J8:J9"/>
    <mergeCell ref="O6:O9"/>
    <mergeCell ref="A4:O4"/>
    <mergeCell ref="B6:B9"/>
    <mergeCell ref="C6:C9"/>
    <mergeCell ref="A6:A9"/>
    <mergeCell ref="H6:N6"/>
    <mergeCell ref="E7:E9"/>
    <mergeCell ref="F7:G7"/>
    <mergeCell ref="E6:G6"/>
    <mergeCell ref="G8:G9"/>
    <mergeCell ref="D6:D9"/>
    <mergeCell ref="M8:M9"/>
    <mergeCell ref="F8:F9"/>
  </mergeCells>
  <phoneticPr fontId="0" type="noConversion"/>
  <printOptions horizontalCentered="1"/>
  <pageMargins left="0.15748031496062992" right="0.15748031496062992" top="0.27559055118110237" bottom="0.15748031496062992" header="0.23622047244094491" footer="0.15748031496062992"/>
  <pageSetup paperSize="9" scale="56" fitToHeight="26" orientation="landscape" r:id="rId1"/>
  <rowBreaks count="2" manualBreakCount="2">
    <brk id="48" max="16383" man="1"/>
    <brk id="15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2"/>
  <sheetViews>
    <sheetView zoomScale="80" zoomScaleNormal="80" workbookViewId="0">
      <selection activeCell="A4" sqref="A4:XFD4"/>
    </sheetView>
  </sheetViews>
  <sheetFormatPr defaultRowHeight="15" x14ac:dyDescent="0.25"/>
  <cols>
    <col min="1" max="1" width="11" style="6" customWidth="1"/>
    <col min="2" max="2" width="9.140625" style="6"/>
    <col min="3" max="3" width="18.42578125" style="6" customWidth="1"/>
    <col min="4" max="4" width="47" style="4" customWidth="1"/>
    <col min="5" max="5" width="18.7109375" style="4" customWidth="1"/>
    <col min="6" max="6" width="16.85546875" style="4" customWidth="1"/>
    <col min="7" max="7" width="14.85546875" style="4" customWidth="1"/>
    <col min="8" max="8" width="15.5703125" style="4" customWidth="1"/>
    <col min="9" max="9" width="15" style="4" customWidth="1"/>
    <col min="10" max="10" width="12.7109375" style="4" customWidth="1"/>
    <col min="11" max="11" width="11" style="4" customWidth="1"/>
    <col min="12" max="12" width="14" style="4" customWidth="1"/>
    <col min="13" max="13" width="16.28515625" style="4" customWidth="1"/>
    <col min="14" max="14" width="15.7109375" style="4" customWidth="1"/>
    <col min="15" max="15" width="15.85546875" style="4" customWidth="1"/>
    <col min="16" max="16" width="11" style="4" bestFit="1" customWidth="1"/>
    <col min="17" max="17" width="12" style="4" bestFit="1" customWidth="1"/>
    <col min="18" max="16384" width="9.140625" style="4"/>
  </cols>
  <sheetData>
    <row r="1" spans="1:16" x14ac:dyDescent="0.25">
      <c r="A1" s="93" t="s">
        <v>391</v>
      </c>
      <c r="B1" s="1"/>
      <c r="C1" s="1"/>
      <c r="D1" s="2"/>
      <c r="E1" s="3"/>
      <c r="F1" s="3"/>
      <c r="G1" s="3"/>
      <c r="H1" s="3"/>
      <c r="I1" s="3"/>
      <c r="J1" s="3"/>
      <c r="K1" s="3"/>
      <c r="L1" s="3" t="s">
        <v>353</v>
      </c>
      <c r="M1" s="3"/>
      <c r="N1" s="3"/>
      <c r="O1" s="3"/>
    </row>
    <row r="2" spans="1:16" x14ac:dyDescent="0.25">
      <c r="A2" s="93" t="s">
        <v>392</v>
      </c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354</v>
      </c>
      <c r="M2" s="5"/>
      <c r="N2" s="3"/>
      <c r="O2" s="3"/>
    </row>
    <row r="3" spans="1:16" x14ac:dyDescent="0.25">
      <c r="D3" s="2"/>
      <c r="E3" s="3"/>
      <c r="F3" s="3"/>
      <c r="G3" s="3"/>
      <c r="H3" s="3"/>
      <c r="I3" s="3"/>
      <c r="J3" s="3"/>
      <c r="K3" s="3"/>
      <c r="L3" s="33" t="s">
        <v>355</v>
      </c>
      <c r="M3" s="5"/>
      <c r="N3" s="3"/>
      <c r="O3" s="3"/>
    </row>
    <row r="4" spans="1:16" ht="20.25" x14ac:dyDescent="0.25">
      <c r="A4" s="134" t="s">
        <v>356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</row>
    <row r="5" spans="1:16" x14ac:dyDescent="0.25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 t="s">
        <v>0</v>
      </c>
    </row>
    <row r="6" spans="1:16" x14ac:dyDescent="0.25">
      <c r="A6" s="136" t="s">
        <v>28</v>
      </c>
      <c r="B6" s="136" t="s">
        <v>29</v>
      </c>
      <c r="C6" s="139" t="s">
        <v>357</v>
      </c>
      <c r="D6" s="140" t="s">
        <v>31</v>
      </c>
      <c r="E6" s="132" t="s">
        <v>1</v>
      </c>
      <c r="F6" s="132"/>
      <c r="G6" s="132"/>
      <c r="H6" s="132" t="s">
        <v>6</v>
      </c>
      <c r="I6" s="132"/>
      <c r="J6" s="132"/>
      <c r="K6" s="132"/>
      <c r="L6" s="132"/>
      <c r="M6" s="132"/>
      <c r="N6" s="132"/>
      <c r="O6" s="132" t="s">
        <v>11</v>
      </c>
    </row>
    <row r="7" spans="1:16" x14ac:dyDescent="0.25">
      <c r="A7" s="137"/>
      <c r="B7" s="137"/>
      <c r="C7" s="139"/>
      <c r="D7" s="140"/>
      <c r="E7" s="132" t="s">
        <v>2</v>
      </c>
      <c r="F7" s="132" t="s">
        <v>3</v>
      </c>
      <c r="G7" s="132"/>
      <c r="H7" s="132" t="s">
        <v>2</v>
      </c>
      <c r="I7" s="132" t="s">
        <v>7</v>
      </c>
      <c r="J7" s="132" t="s">
        <v>3</v>
      </c>
      <c r="K7" s="132"/>
      <c r="L7" s="132" t="s">
        <v>8</v>
      </c>
      <c r="M7" s="132" t="s">
        <v>3</v>
      </c>
      <c r="N7" s="132"/>
      <c r="O7" s="132"/>
    </row>
    <row r="8" spans="1:16" x14ac:dyDescent="0.25">
      <c r="A8" s="137"/>
      <c r="B8" s="137"/>
      <c r="C8" s="139"/>
      <c r="D8" s="140"/>
      <c r="E8" s="132"/>
      <c r="F8" s="132" t="s">
        <v>4</v>
      </c>
      <c r="G8" s="132" t="s">
        <v>5</v>
      </c>
      <c r="H8" s="132"/>
      <c r="I8" s="132"/>
      <c r="J8" s="132" t="s">
        <v>4</v>
      </c>
      <c r="K8" s="132" t="s">
        <v>5</v>
      </c>
      <c r="L8" s="132"/>
      <c r="M8" s="132" t="s">
        <v>9</v>
      </c>
      <c r="N8" s="92" t="s">
        <v>3</v>
      </c>
      <c r="O8" s="132"/>
    </row>
    <row r="9" spans="1:16" ht="63" x14ac:dyDescent="0.25">
      <c r="A9" s="138"/>
      <c r="B9" s="138"/>
      <c r="C9" s="139"/>
      <c r="D9" s="140"/>
      <c r="E9" s="132"/>
      <c r="F9" s="132"/>
      <c r="G9" s="132"/>
      <c r="H9" s="132"/>
      <c r="I9" s="132"/>
      <c r="J9" s="132"/>
      <c r="K9" s="132"/>
      <c r="L9" s="132"/>
      <c r="M9" s="132"/>
      <c r="N9" s="9" t="s">
        <v>10</v>
      </c>
      <c r="O9" s="132"/>
    </row>
    <row r="10" spans="1:16" x14ac:dyDescent="0.25">
      <c r="A10" s="10">
        <v>1</v>
      </c>
      <c r="B10" s="10">
        <v>2</v>
      </c>
      <c r="C10" s="10">
        <v>3</v>
      </c>
      <c r="D10" s="92">
        <v>4</v>
      </c>
      <c r="E10" s="92">
        <v>5</v>
      </c>
      <c r="F10" s="92">
        <v>6</v>
      </c>
      <c r="G10" s="92">
        <v>7</v>
      </c>
      <c r="H10" s="92">
        <v>8</v>
      </c>
      <c r="I10" s="92">
        <v>9</v>
      </c>
      <c r="J10" s="92">
        <v>10</v>
      </c>
      <c r="K10" s="92">
        <v>11</v>
      </c>
      <c r="L10" s="92">
        <v>12</v>
      </c>
      <c r="M10" s="92">
        <v>13</v>
      </c>
      <c r="N10" s="92">
        <v>14</v>
      </c>
      <c r="O10" s="92" t="s">
        <v>30</v>
      </c>
    </row>
    <row r="11" spans="1:16" s="95" customFormat="1" ht="31.5" x14ac:dyDescent="0.25">
      <c r="A11" s="25" t="s">
        <v>137</v>
      </c>
      <c r="B11" s="25"/>
      <c r="C11" s="25"/>
      <c r="D11" s="26" t="s">
        <v>25</v>
      </c>
      <c r="E11" s="94">
        <f>E12</f>
        <v>135486.79999999999</v>
      </c>
      <c r="F11" s="94">
        <f t="shared" ref="F11:N11" si="0">F12</f>
        <v>20424</v>
      </c>
      <c r="G11" s="94">
        <f t="shared" si="0"/>
        <v>2029.7</v>
      </c>
      <c r="H11" s="94">
        <f t="shared" si="0"/>
        <v>19940.987860000001</v>
      </c>
      <c r="I11" s="94">
        <f t="shared" si="0"/>
        <v>8729.6</v>
      </c>
      <c r="J11" s="94">
        <f t="shared" si="0"/>
        <v>0</v>
      </c>
      <c r="K11" s="94">
        <f t="shared" si="0"/>
        <v>0</v>
      </c>
      <c r="L11" s="94">
        <f t="shared" si="0"/>
        <v>11211.387859999999</v>
      </c>
      <c r="M11" s="94">
        <f t="shared" si="0"/>
        <v>11191.387859999999</v>
      </c>
      <c r="N11" s="94">
        <f t="shared" si="0"/>
        <v>11191.387859999999</v>
      </c>
      <c r="O11" s="21">
        <f t="shared" ref="O11:O22" si="1">E11+H11</f>
        <v>155427.78785999998</v>
      </c>
    </row>
    <row r="12" spans="1:16" s="16" customFormat="1" ht="31.5" x14ac:dyDescent="0.25">
      <c r="A12" s="25" t="s">
        <v>138</v>
      </c>
      <c r="B12" s="19"/>
      <c r="C12" s="19"/>
      <c r="D12" s="26" t="s">
        <v>25</v>
      </c>
      <c r="E12" s="21">
        <f>E13+E14+E15+E16+E22+E23+E24+E25+E26+E27+E28+E29+E30+E32+E33+E31</f>
        <v>135486.79999999999</v>
      </c>
      <c r="F12" s="21">
        <f t="shared" ref="F12:N12" si="2">F13+F14+F15+F16+F22+F23+F24+F25+F26+F27+F28+F29+F30+F32+F33+F31</f>
        <v>20424</v>
      </c>
      <c r="G12" s="21">
        <f t="shared" si="2"/>
        <v>2029.7</v>
      </c>
      <c r="H12" s="21">
        <f t="shared" si="2"/>
        <v>19940.987860000001</v>
      </c>
      <c r="I12" s="21">
        <f t="shared" si="2"/>
        <v>8729.6</v>
      </c>
      <c r="J12" s="21">
        <f t="shared" si="2"/>
        <v>0</v>
      </c>
      <c r="K12" s="21">
        <f t="shared" si="2"/>
        <v>0</v>
      </c>
      <c r="L12" s="21">
        <f t="shared" si="2"/>
        <v>11211.387859999999</v>
      </c>
      <c r="M12" s="21">
        <f t="shared" si="2"/>
        <v>11191.387859999999</v>
      </c>
      <c r="N12" s="21">
        <f t="shared" si="2"/>
        <v>11191.387859999999</v>
      </c>
      <c r="O12" s="21">
        <f t="shared" si="1"/>
        <v>155427.78785999998</v>
      </c>
    </row>
    <row r="13" spans="1:16" s="29" customFormat="1" ht="78.75" x14ac:dyDescent="0.25">
      <c r="A13" s="19" t="s">
        <v>139</v>
      </c>
      <c r="B13" s="19" t="s">
        <v>117</v>
      </c>
      <c r="C13" s="19" t="s">
        <v>32</v>
      </c>
      <c r="D13" s="18" t="s">
        <v>118</v>
      </c>
      <c r="E13" s="20">
        <f>25114.2-25</f>
        <v>25089.200000000001</v>
      </c>
      <c r="F13" s="20">
        <f>16741+3683</f>
        <v>20424</v>
      </c>
      <c r="G13" s="20">
        <f>2029.7</f>
        <v>2029.7</v>
      </c>
      <c r="H13" s="20">
        <f>I13+L13</f>
        <v>2325</v>
      </c>
      <c r="I13" s="20">
        <f>121+24</f>
        <v>145</v>
      </c>
      <c r="J13" s="20"/>
      <c r="K13" s="20"/>
      <c r="L13" s="20">
        <f>1180+500+500</f>
        <v>2180</v>
      </c>
      <c r="M13" s="20">
        <v>2180</v>
      </c>
      <c r="N13" s="20">
        <v>2180</v>
      </c>
      <c r="O13" s="20">
        <f t="shared" si="1"/>
        <v>27414.2</v>
      </c>
      <c r="P13" s="51"/>
    </row>
    <row r="14" spans="1:16" s="29" customFormat="1" ht="47.25" x14ac:dyDescent="0.25">
      <c r="A14" s="19" t="s">
        <v>237</v>
      </c>
      <c r="B14" s="19" t="s">
        <v>238</v>
      </c>
      <c r="C14" s="19" t="s">
        <v>239</v>
      </c>
      <c r="D14" s="18" t="s">
        <v>240</v>
      </c>
      <c r="E14" s="20">
        <v>25</v>
      </c>
      <c r="F14" s="20"/>
      <c r="G14" s="20"/>
      <c r="H14" s="20"/>
      <c r="I14" s="20"/>
      <c r="J14" s="20"/>
      <c r="K14" s="20"/>
      <c r="L14" s="20"/>
      <c r="M14" s="20"/>
      <c r="N14" s="20"/>
      <c r="O14" s="20">
        <f t="shared" si="1"/>
        <v>25</v>
      </c>
      <c r="P14" s="51"/>
    </row>
    <row r="15" spans="1:16" s="29" customFormat="1" ht="31.5" x14ac:dyDescent="0.25">
      <c r="A15" s="19" t="s">
        <v>247</v>
      </c>
      <c r="B15" s="19" t="s">
        <v>41</v>
      </c>
      <c r="C15" s="19" t="s">
        <v>37</v>
      </c>
      <c r="D15" s="23" t="s">
        <v>248</v>
      </c>
      <c r="E15" s="20">
        <f>1550.5+186</f>
        <v>1736.5</v>
      </c>
      <c r="F15" s="20"/>
      <c r="G15" s="20"/>
      <c r="H15" s="20"/>
      <c r="I15" s="20"/>
      <c r="J15" s="20"/>
      <c r="K15" s="20"/>
      <c r="L15" s="20"/>
      <c r="M15" s="20"/>
      <c r="N15" s="20"/>
      <c r="O15" s="20">
        <f t="shared" si="1"/>
        <v>1736.5</v>
      </c>
      <c r="P15" s="51"/>
    </row>
    <row r="16" spans="1:16" s="29" customFormat="1" ht="31.5" x14ac:dyDescent="0.25">
      <c r="A16" s="19" t="s">
        <v>140</v>
      </c>
      <c r="B16" s="19" t="s">
        <v>69</v>
      </c>
      <c r="C16" s="19" t="s">
        <v>70</v>
      </c>
      <c r="D16" s="12" t="s">
        <v>358</v>
      </c>
      <c r="E16" s="20">
        <f>80731.6+3812.4</f>
        <v>84544</v>
      </c>
      <c r="F16" s="20"/>
      <c r="G16" s="20"/>
      <c r="H16" s="20">
        <f>I16+L16</f>
        <v>12847.58786</v>
      </c>
      <c r="I16" s="24">
        <v>4345.6000000000004</v>
      </c>
      <c r="J16" s="20"/>
      <c r="K16" s="20"/>
      <c r="L16" s="20">
        <f>20+5000+1500+500+1481.98786</f>
        <v>8501.9878599999993</v>
      </c>
      <c r="M16" s="20">
        <f>5000+1500+500+1481.98786</f>
        <v>8481.9878599999993</v>
      </c>
      <c r="N16" s="20">
        <f>5000+1500+500+1481.98786</f>
        <v>8481.9878599999993</v>
      </c>
      <c r="O16" s="20">
        <f t="shared" si="1"/>
        <v>97391.58786</v>
      </c>
      <c r="P16" s="51"/>
    </row>
    <row r="17" spans="1:16" s="37" customFormat="1" ht="81.75" x14ac:dyDescent="0.25">
      <c r="B17" s="35"/>
      <c r="C17" s="35"/>
      <c r="D17" s="36" t="s">
        <v>393</v>
      </c>
      <c r="E17" s="80"/>
      <c r="F17" s="80"/>
      <c r="G17" s="80"/>
      <c r="H17" s="80">
        <f>I17+L17</f>
        <v>1331.5615</v>
      </c>
      <c r="I17" s="80"/>
      <c r="J17" s="80"/>
      <c r="K17" s="80"/>
      <c r="L17" s="80">
        <v>1331.5615</v>
      </c>
      <c r="M17" s="80">
        <v>1331.5615</v>
      </c>
      <c r="N17" s="80">
        <v>1331.5615</v>
      </c>
      <c r="O17" s="80">
        <f t="shared" si="1"/>
        <v>1331.5615</v>
      </c>
    </row>
    <row r="18" spans="1:16" s="37" customFormat="1" ht="31.5" x14ac:dyDescent="0.25">
      <c r="A18" s="35"/>
      <c r="B18" s="35"/>
      <c r="C18" s="35"/>
      <c r="D18" s="36" t="s">
        <v>377</v>
      </c>
      <c r="E18" s="76">
        <f>E20+E21</f>
        <v>58285.8</v>
      </c>
      <c r="F18" s="76"/>
      <c r="G18" s="76"/>
      <c r="H18" s="76">
        <f>I18+L18</f>
        <v>0</v>
      </c>
      <c r="I18" s="76"/>
      <c r="J18" s="76"/>
      <c r="K18" s="76"/>
      <c r="L18" s="76"/>
      <c r="M18" s="76"/>
      <c r="N18" s="76"/>
      <c r="O18" s="76">
        <f t="shared" si="1"/>
        <v>58285.8</v>
      </c>
    </row>
    <row r="19" spans="1:16" s="37" customFormat="1" ht="15.75" x14ac:dyDescent="0.25">
      <c r="A19" s="35"/>
      <c r="B19" s="35"/>
      <c r="C19" s="35"/>
      <c r="D19" s="36" t="s">
        <v>378</v>
      </c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</row>
    <row r="20" spans="1:16" s="37" customFormat="1" ht="15.75" x14ac:dyDescent="0.25">
      <c r="A20" s="35"/>
      <c r="B20" s="35"/>
      <c r="C20" s="35"/>
      <c r="D20" s="36" t="s">
        <v>345</v>
      </c>
      <c r="E20" s="76">
        <f>9753.2</f>
        <v>9753.2000000000007</v>
      </c>
      <c r="F20" s="76"/>
      <c r="G20" s="76"/>
      <c r="H20" s="76">
        <f>I20+L20</f>
        <v>0</v>
      </c>
      <c r="I20" s="76"/>
      <c r="J20" s="76"/>
      <c r="K20" s="76"/>
      <c r="L20" s="76"/>
      <c r="M20" s="76"/>
      <c r="N20" s="76"/>
      <c r="O20" s="76">
        <f t="shared" si="1"/>
        <v>9753.2000000000007</v>
      </c>
    </row>
    <row r="21" spans="1:16" s="37" customFormat="1" ht="15.75" x14ac:dyDescent="0.25">
      <c r="A21" s="35"/>
      <c r="B21" s="35"/>
      <c r="C21" s="35"/>
      <c r="D21" s="36" t="s">
        <v>346</v>
      </c>
      <c r="E21" s="76">
        <v>48532.6</v>
      </c>
      <c r="F21" s="76"/>
      <c r="G21" s="76"/>
      <c r="H21" s="76">
        <f>I21+L21</f>
        <v>0</v>
      </c>
      <c r="I21" s="76"/>
      <c r="J21" s="76"/>
      <c r="K21" s="76"/>
      <c r="L21" s="76"/>
      <c r="M21" s="76"/>
      <c r="N21" s="76"/>
      <c r="O21" s="76">
        <f t="shared" si="1"/>
        <v>48532.6</v>
      </c>
    </row>
    <row r="22" spans="1:16" s="29" customFormat="1" ht="15.75" x14ac:dyDescent="0.25">
      <c r="A22" s="19" t="s">
        <v>141</v>
      </c>
      <c r="B22" s="19" t="s">
        <v>119</v>
      </c>
      <c r="C22" s="19" t="s">
        <v>71</v>
      </c>
      <c r="D22" s="12" t="s">
        <v>120</v>
      </c>
      <c r="E22" s="20">
        <v>9640.7000000000007</v>
      </c>
      <c r="F22" s="20"/>
      <c r="G22" s="20"/>
      <c r="H22" s="20">
        <f>I22+L22</f>
        <v>4279</v>
      </c>
      <c r="I22" s="20">
        <v>3759</v>
      </c>
      <c r="J22" s="20"/>
      <c r="K22" s="20"/>
      <c r="L22" s="20">
        <v>520</v>
      </c>
      <c r="M22" s="20">
        <v>520</v>
      </c>
      <c r="N22" s="20">
        <v>520</v>
      </c>
      <c r="O22" s="20">
        <f t="shared" si="1"/>
        <v>13919.7</v>
      </c>
      <c r="P22" s="51"/>
    </row>
    <row r="23" spans="1:16" s="29" customFormat="1" ht="31.5" x14ac:dyDescent="0.25">
      <c r="A23" s="19" t="s">
        <v>281</v>
      </c>
      <c r="B23" s="19" t="s">
        <v>276</v>
      </c>
      <c r="C23" s="19" t="s">
        <v>277</v>
      </c>
      <c r="D23" s="12" t="s">
        <v>278</v>
      </c>
      <c r="E23" s="20">
        <v>1676.2</v>
      </c>
      <c r="F23" s="20"/>
      <c r="G23" s="20"/>
      <c r="H23" s="24"/>
      <c r="I23" s="24"/>
      <c r="J23" s="24"/>
      <c r="K23" s="24"/>
      <c r="L23" s="24"/>
      <c r="M23" s="24"/>
      <c r="N23" s="24"/>
      <c r="O23" s="20">
        <f>E23+H23</f>
        <v>1676.2</v>
      </c>
      <c r="P23" s="51"/>
    </row>
    <row r="24" spans="1:16" s="29" customFormat="1" ht="31.5" x14ac:dyDescent="0.25">
      <c r="A24" s="19" t="s">
        <v>282</v>
      </c>
      <c r="B24" s="19" t="s">
        <v>279</v>
      </c>
      <c r="C24" s="19" t="s">
        <v>277</v>
      </c>
      <c r="D24" s="12" t="s">
        <v>280</v>
      </c>
      <c r="E24" s="20">
        <v>1647.3</v>
      </c>
      <c r="F24" s="20"/>
      <c r="G24" s="20"/>
      <c r="H24" s="24"/>
      <c r="I24" s="24"/>
      <c r="J24" s="24"/>
      <c r="K24" s="24"/>
      <c r="L24" s="24"/>
      <c r="M24" s="24"/>
      <c r="N24" s="24"/>
      <c r="O24" s="20">
        <f>E24+H24</f>
        <v>1647.3</v>
      </c>
      <c r="P24" s="51"/>
    </row>
    <row r="25" spans="1:16" s="29" customFormat="1" ht="31.5" x14ac:dyDescent="0.25">
      <c r="A25" s="19" t="s">
        <v>320</v>
      </c>
      <c r="B25" s="19" t="s">
        <v>318</v>
      </c>
      <c r="C25" s="19" t="s">
        <v>33</v>
      </c>
      <c r="D25" s="18" t="s">
        <v>319</v>
      </c>
      <c r="E25" s="20">
        <v>2946.7</v>
      </c>
      <c r="F25" s="20"/>
      <c r="G25" s="20"/>
      <c r="H25" s="20"/>
      <c r="I25" s="20"/>
      <c r="J25" s="20"/>
      <c r="K25" s="20"/>
      <c r="L25" s="20"/>
      <c r="M25" s="20"/>
      <c r="N25" s="20"/>
      <c r="O25" s="20">
        <f t="shared" ref="O25:O93" si="3">E25+H25</f>
        <v>2946.7</v>
      </c>
    </row>
    <row r="26" spans="1:16" s="29" customFormat="1" ht="31.5" x14ac:dyDescent="0.25">
      <c r="A26" s="19" t="s">
        <v>343</v>
      </c>
      <c r="B26" s="19" t="s">
        <v>263</v>
      </c>
      <c r="C26" s="19" t="s">
        <v>265</v>
      </c>
      <c r="D26" s="18" t="s">
        <v>266</v>
      </c>
      <c r="E26" s="24">
        <v>750</v>
      </c>
      <c r="F26" s="24"/>
      <c r="G26" s="24"/>
      <c r="H26" s="24">
        <f>I26+L26</f>
        <v>9.4</v>
      </c>
      <c r="I26" s="24"/>
      <c r="J26" s="24"/>
      <c r="K26" s="24"/>
      <c r="L26" s="24">
        <v>9.4</v>
      </c>
      <c r="M26" s="24">
        <v>9.4</v>
      </c>
      <c r="N26" s="24">
        <v>9.4</v>
      </c>
      <c r="O26" s="24">
        <f t="shared" si="3"/>
        <v>759.4</v>
      </c>
    </row>
    <row r="27" spans="1:16" s="29" customFormat="1" ht="31.5" x14ac:dyDescent="0.25">
      <c r="A27" s="19" t="s">
        <v>245</v>
      </c>
      <c r="B27" s="19" t="s">
        <v>244</v>
      </c>
      <c r="C27" s="19" t="s">
        <v>35</v>
      </c>
      <c r="D27" s="18" t="s">
        <v>246</v>
      </c>
      <c r="E27" s="20">
        <f>300+500</f>
        <v>800</v>
      </c>
      <c r="F27" s="20"/>
      <c r="G27" s="20"/>
      <c r="H27" s="20"/>
      <c r="I27" s="20"/>
      <c r="J27" s="20"/>
      <c r="K27" s="20"/>
      <c r="L27" s="20"/>
      <c r="M27" s="20"/>
      <c r="N27" s="20"/>
      <c r="O27" s="20">
        <f t="shared" si="3"/>
        <v>800</v>
      </c>
    </row>
    <row r="28" spans="1:16" s="29" customFormat="1" ht="15.75" x14ac:dyDescent="0.25">
      <c r="A28" s="19" t="s">
        <v>197</v>
      </c>
      <c r="B28" s="19" t="s">
        <v>196</v>
      </c>
      <c r="C28" s="19" t="s">
        <v>38</v>
      </c>
      <c r="D28" s="12" t="s">
        <v>39</v>
      </c>
      <c r="E28" s="20">
        <v>200</v>
      </c>
      <c r="F28" s="20"/>
      <c r="G28" s="20"/>
      <c r="H28" s="20"/>
      <c r="I28" s="20"/>
      <c r="J28" s="20"/>
      <c r="K28" s="20"/>
      <c r="L28" s="20"/>
      <c r="M28" s="20"/>
      <c r="N28" s="20"/>
      <c r="O28" s="20">
        <f t="shared" si="3"/>
        <v>200</v>
      </c>
    </row>
    <row r="29" spans="1:16" s="29" customFormat="1" ht="31.5" x14ac:dyDescent="0.25">
      <c r="A29" s="19" t="s">
        <v>242</v>
      </c>
      <c r="B29" s="19" t="s">
        <v>241</v>
      </c>
      <c r="C29" s="19" t="s">
        <v>58</v>
      </c>
      <c r="D29" s="12" t="s">
        <v>243</v>
      </c>
      <c r="E29" s="20">
        <v>40</v>
      </c>
      <c r="F29" s="20"/>
      <c r="G29" s="20"/>
      <c r="H29" s="20"/>
      <c r="I29" s="20"/>
      <c r="J29" s="20"/>
      <c r="K29" s="20"/>
      <c r="L29" s="20"/>
      <c r="M29" s="20"/>
      <c r="N29" s="20"/>
      <c r="O29" s="20">
        <f t="shared" si="3"/>
        <v>40</v>
      </c>
    </row>
    <row r="30" spans="1:16" s="29" customFormat="1" ht="31.5" x14ac:dyDescent="0.25">
      <c r="A30" s="19" t="s">
        <v>297</v>
      </c>
      <c r="B30" s="19" t="s">
        <v>296</v>
      </c>
      <c r="C30" s="19" t="s">
        <v>58</v>
      </c>
      <c r="D30" s="18" t="s">
        <v>298</v>
      </c>
      <c r="E30" s="20">
        <v>3341.7</v>
      </c>
      <c r="F30" s="20"/>
      <c r="G30" s="20"/>
      <c r="H30" s="20"/>
      <c r="I30" s="20"/>
      <c r="J30" s="20"/>
      <c r="K30" s="20"/>
      <c r="L30" s="20"/>
      <c r="M30" s="20"/>
      <c r="N30" s="20"/>
      <c r="O30" s="20">
        <f t="shared" si="3"/>
        <v>3341.7</v>
      </c>
    </row>
    <row r="31" spans="1:16" s="29" customFormat="1" ht="47.25" x14ac:dyDescent="0.25">
      <c r="A31" s="19" t="s">
        <v>195</v>
      </c>
      <c r="B31" s="19" t="s">
        <v>194</v>
      </c>
      <c r="C31" s="19" t="s">
        <v>36</v>
      </c>
      <c r="D31" s="12" t="s">
        <v>299</v>
      </c>
      <c r="E31" s="20">
        <v>237.5</v>
      </c>
      <c r="F31" s="20"/>
      <c r="G31" s="20"/>
      <c r="H31" s="20"/>
      <c r="I31" s="20"/>
      <c r="J31" s="20"/>
      <c r="K31" s="20"/>
      <c r="L31" s="20"/>
      <c r="M31" s="20"/>
      <c r="N31" s="20"/>
      <c r="O31" s="20">
        <f t="shared" si="3"/>
        <v>237.5</v>
      </c>
    </row>
    <row r="32" spans="1:16" s="29" customFormat="1" ht="31.5" x14ac:dyDescent="0.25">
      <c r="A32" s="19" t="s">
        <v>275</v>
      </c>
      <c r="B32" s="19" t="s">
        <v>274</v>
      </c>
      <c r="C32" s="19" t="s">
        <v>101</v>
      </c>
      <c r="D32" s="18" t="s">
        <v>295</v>
      </c>
      <c r="E32" s="20"/>
      <c r="F32" s="20"/>
      <c r="G32" s="20"/>
      <c r="H32" s="20">
        <f>I32+L32</f>
        <v>480</v>
      </c>
      <c r="I32" s="20">
        <f>60+20+50+90+70+190</f>
        <v>480</v>
      </c>
      <c r="J32" s="20"/>
      <c r="K32" s="20"/>
      <c r="L32" s="20"/>
      <c r="M32" s="20"/>
      <c r="N32" s="20"/>
      <c r="O32" s="20">
        <f t="shared" si="3"/>
        <v>480</v>
      </c>
    </row>
    <row r="33" spans="1:15" s="29" customFormat="1" ht="31.5" x14ac:dyDescent="0.25">
      <c r="A33" s="19" t="s">
        <v>192</v>
      </c>
      <c r="B33" s="19" t="s">
        <v>191</v>
      </c>
      <c r="C33" s="19" t="s">
        <v>34</v>
      </c>
      <c r="D33" s="18" t="s">
        <v>193</v>
      </c>
      <c r="E33" s="20">
        <v>2812</v>
      </c>
      <c r="F33" s="20"/>
      <c r="G33" s="20"/>
      <c r="H33" s="20"/>
      <c r="I33" s="20"/>
      <c r="J33" s="20"/>
      <c r="K33" s="20"/>
      <c r="L33" s="20"/>
      <c r="M33" s="20"/>
      <c r="N33" s="20"/>
      <c r="O33" s="20">
        <f t="shared" si="3"/>
        <v>2812</v>
      </c>
    </row>
    <row r="34" spans="1:15" s="30" customFormat="1" ht="47.25" x14ac:dyDescent="0.25">
      <c r="A34" s="25" t="s">
        <v>137</v>
      </c>
      <c r="B34" s="25"/>
      <c r="C34" s="25"/>
      <c r="D34" s="26" t="s">
        <v>251</v>
      </c>
      <c r="E34" s="21">
        <f>E35</f>
        <v>3062.4</v>
      </c>
      <c r="F34" s="21">
        <f t="shared" ref="F34:N34" si="4">F35</f>
        <v>1165</v>
      </c>
      <c r="G34" s="21">
        <f t="shared" si="4"/>
        <v>85.9</v>
      </c>
      <c r="H34" s="21">
        <f t="shared" si="4"/>
        <v>80</v>
      </c>
      <c r="I34" s="21">
        <f t="shared" si="4"/>
        <v>10</v>
      </c>
      <c r="J34" s="21"/>
      <c r="K34" s="21"/>
      <c r="L34" s="21">
        <f t="shared" si="4"/>
        <v>70</v>
      </c>
      <c r="M34" s="21">
        <f t="shared" si="4"/>
        <v>70</v>
      </c>
      <c r="N34" s="21">
        <f t="shared" si="4"/>
        <v>70</v>
      </c>
      <c r="O34" s="21">
        <f t="shared" si="3"/>
        <v>3142.4</v>
      </c>
    </row>
    <row r="35" spans="1:15" s="29" customFormat="1" ht="47.25" x14ac:dyDescent="0.25">
      <c r="A35" s="25" t="s">
        <v>138</v>
      </c>
      <c r="B35" s="19"/>
      <c r="C35" s="19"/>
      <c r="D35" s="26" t="s">
        <v>251</v>
      </c>
      <c r="E35" s="21">
        <f>E36+E37</f>
        <v>3062.4</v>
      </c>
      <c r="F35" s="21">
        <f>F36+F37</f>
        <v>1165</v>
      </c>
      <c r="G35" s="21">
        <f>G36+G37</f>
        <v>85.9</v>
      </c>
      <c r="H35" s="21">
        <f>I35+L35</f>
        <v>80</v>
      </c>
      <c r="I35" s="21">
        <f>I36+I37</f>
        <v>10</v>
      </c>
      <c r="J35" s="21"/>
      <c r="K35" s="21"/>
      <c r="L35" s="21">
        <f>L36+L37</f>
        <v>70</v>
      </c>
      <c r="M35" s="21">
        <f>M36+M37</f>
        <v>70</v>
      </c>
      <c r="N35" s="21">
        <f>N36+N37</f>
        <v>70</v>
      </c>
      <c r="O35" s="21">
        <f t="shared" si="3"/>
        <v>3142.4</v>
      </c>
    </row>
    <row r="36" spans="1:15" s="29" customFormat="1" ht="78.75" x14ac:dyDescent="0.25">
      <c r="A36" s="19" t="s">
        <v>139</v>
      </c>
      <c r="B36" s="19" t="s">
        <v>117</v>
      </c>
      <c r="C36" s="19" t="s">
        <v>32</v>
      </c>
      <c r="D36" s="18" t="s">
        <v>118</v>
      </c>
      <c r="E36" s="20">
        <v>1532.4</v>
      </c>
      <c r="F36" s="20">
        <f>955+210</f>
        <v>1165</v>
      </c>
      <c r="G36" s="20">
        <v>85.9</v>
      </c>
      <c r="H36" s="20">
        <f>I36+L36</f>
        <v>10</v>
      </c>
      <c r="I36" s="20">
        <v>10</v>
      </c>
      <c r="J36" s="20"/>
      <c r="K36" s="20"/>
      <c r="L36" s="20"/>
      <c r="M36" s="20"/>
      <c r="N36" s="20"/>
      <c r="O36" s="20">
        <f t="shared" si="3"/>
        <v>1542.4</v>
      </c>
    </row>
    <row r="37" spans="1:15" s="29" customFormat="1" ht="15.75" x14ac:dyDescent="0.25">
      <c r="A37" s="19" t="s">
        <v>142</v>
      </c>
      <c r="B37" s="19" t="s">
        <v>99</v>
      </c>
      <c r="C37" s="19" t="s">
        <v>40</v>
      </c>
      <c r="D37" s="18" t="s">
        <v>121</v>
      </c>
      <c r="E37" s="20">
        <f>1030+500</f>
        <v>1530</v>
      </c>
      <c r="F37" s="20"/>
      <c r="G37" s="20"/>
      <c r="H37" s="20">
        <f>I37+L37</f>
        <v>70</v>
      </c>
      <c r="I37" s="20"/>
      <c r="J37" s="20"/>
      <c r="K37" s="20"/>
      <c r="L37" s="20">
        <v>70</v>
      </c>
      <c r="M37" s="20">
        <v>70</v>
      </c>
      <c r="N37" s="20">
        <v>70</v>
      </c>
      <c r="O37" s="20">
        <f t="shared" si="3"/>
        <v>1600</v>
      </c>
    </row>
    <row r="38" spans="1:15" s="30" customFormat="1" ht="47.25" x14ac:dyDescent="0.25">
      <c r="A38" s="25" t="s">
        <v>137</v>
      </c>
      <c r="B38" s="25"/>
      <c r="C38" s="25"/>
      <c r="D38" s="26" t="s">
        <v>17</v>
      </c>
      <c r="E38" s="21">
        <f>E39</f>
        <v>1860.4</v>
      </c>
      <c r="F38" s="21">
        <f>F39</f>
        <v>960</v>
      </c>
      <c r="G38" s="21">
        <f>G39</f>
        <v>32</v>
      </c>
      <c r="H38" s="21">
        <f t="shared" ref="H38:N38" si="5">H39</f>
        <v>17</v>
      </c>
      <c r="I38" s="21">
        <f t="shared" si="5"/>
        <v>0</v>
      </c>
      <c r="J38" s="21">
        <f t="shared" si="5"/>
        <v>0</v>
      </c>
      <c r="K38" s="21">
        <f t="shared" si="5"/>
        <v>0</v>
      </c>
      <c r="L38" s="21">
        <f t="shared" si="5"/>
        <v>17</v>
      </c>
      <c r="M38" s="21">
        <f t="shared" si="5"/>
        <v>17</v>
      </c>
      <c r="N38" s="21">
        <f t="shared" si="5"/>
        <v>17</v>
      </c>
      <c r="O38" s="21">
        <f t="shared" si="3"/>
        <v>1877.4</v>
      </c>
    </row>
    <row r="39" spans="1:15" s="30" customFormat="1" ht="47.25" x14ac:dyDescent="0.25">
      <c r="A39" s="25" t="s">
        <v>138</v>
      </c>
      <c r="B39" s="25"/>
      <c r="C39" s="25"/>
      <c r="D39" s="26" t="s">
        <v>17</v>
      </c>
      <c r="E39" s="21">
        <f>E40+E41</f>
        <v>1860.4</v>
      </c>
      <c r="F39" s="21">
        <f>F40+F41</f>
        <v>960</v>
      </c>
      <c r="G39" s="21">
        <f>G40+G41</f>
        <v>32</v>
      </c>
      <c r="H39" s="21">
        <f t="shared" ref="H39:N39" si="6">H40+H41</f>
        <v>17</v>
      </c>
      <c r="I39" s="21">
        <f t="shared" si="6"/>
        <v>0</v>
      </c>
      <c r="J39" s="21">
        <f t="shared" si="6"/>
        <v>0</v>
      </c>
      <c r="K39" s="21">
        <f t="shared" si="6"/>
        <v>0</v>
      </c>
      <c r="L39" s="21">
        <f t="shared" si="6"/>
        <v>17</v>
      </c>
      <c r="M39" s="21">
        <f t="shared" si="6"/>
        <v>17</v>
      </c>
      <c r="N39" s="21">
        <f t="shared" si="6"/>
        <v>17</v>
      </c>
      <c r="O39" s="21">
        <f t="shared" si="3"/>
        <v>1877.4</v>
      </c>
    </row>
    <row r="40" spans="1:15" s="29" customFormat="1" ht="78.75" x14ac:dyDescent="0.25">
      <c r="A40" s="19" t="s">
        <v>139</v>
      </c>
      <c r="B40" s="19" t="s">
        <v>117</v>
      </c>
      <c r="C40" s="19" t="s">
        <v>32</v>
      </c>
      <c r="D40" s="18" t="s">
        <v>118</v>
      </c>
      <c r="E40" s="20">
        <v>1061.4000000000001</v>
      </c>
      <c r="F40" s="20">
        <f>787+173</f>
        <v>960</v>
      </c>
      <c r="G40" s="20">
        <v>32</v>
      </c>
      <c r="H40" s="21">
        <f>I40+L40</f>
        <v>17</v>
      </c>
      <c r="I40" s="20"/>
      <c r="J40" s="20"/>
      <c r="K40" s="20"/>
      <c r="L40" s="20">
        <f>17</f>
        <v>17</v>
      </c>
      <c r="M40" s="20">
        <f>17</f>
        <v>17</v>
      </c>
      <c r="N40" s="20">
        <f>17</f>
        <v>17</v>
      </c>
      <c r="O40" s="20">
        <f t="shared" si="3"/>
        <v>1078.4000000000001</v>
      </c>
    </row>
    <row r="41" spans="1:15" s="29" customFormat="1" ht="15.75" x14ac:dyDescent="0.25">
      <c r="A41" s="19" t="s">
        <v>142</v>
      </c>
      <c r="B41" s="19" t="s">
        <v>99</v>
      </c>
      <c r="C41" s="19" t="s">
        <v>40</v>
      </c>
      <c r="D41" s="18" t="s">
        <v>121</v>
      </c>
      <c r="E41" s="20">
        <f>299+500</f>
        <v>799</v>
      </c>
      <c r="F41" s="20"/>
      <c r="G41" s="20"/>
      <c r="H41" s="20"/>
      <c r="I41" s="20"/>
      <c r="J41" s="20"/>
      <c r="K41" s="20"/>
      <c r="L41" s="20"/>
      <c r="M41" s="20"/>
      <c r="N41" s="20"/>
      <c r="O41" s="20">
        <f t="shared" si="3"/>
        <v>799</v>
      </c>
    </row>
    <row r="42" spans="1:15" s="30" customFormat="1" ht="47.25" x14ac:dyDescent="0.25">
      <c r="A42" s="25" t="s">
        <v>137</v>
      </c>
      <c r="B42" s="25"/>
      <c r="C42" s="25"/>
      <c r="D42" s="26" t="s">
        <v>19</v>
      </c>
      <c r="E42" s="21">
        <f t="shared" ref="E42:N42" si="7">E43</f>
        <v>3242.4</v>
      </c>
      <c r="F42" s="21">
        <f t="shared" si="7"/>
        <v>1078</v>
      </c>
      <c r="G42" s="21">
        <f t="shared" si="7"/>
        <v>52.2</v>
      </c>
      <c r="H42" s="21">
        <f t="shared" si="7"/>
        <v>30</v>
      </c>
      <c r="I42" s="21">
        <f t="shared" si="7"/>
        <v>10</v>
      </c>
      <c r="J42" s="21">
        <f t="shared" si="7"/>
        <v>0</v>
      </c>
      <c r="K42" s="21">
        <f t="shared" si="7"/>
        <v>0</v>
      </c>
      <c r="L42" s="21">
        <f t="shared" si="7"/>
        <v>20</v>
      </c>
      <c r="M42" s="21">
        <f t="shared" si="7"/>
        <v>20</v>
      </c>
      <c r="N42" s="21">
        <f t="shared" si="7"/>
        <v>20</v>
      </c>
      <c r="O42" s="21">
        <f t="shared" si="3"/>
        <v>3272.4</v>
      </c>
    </row>
    <row r="43" spans="1:15" s="30" customFormat="1" ht="47.25" x14ac:dyDescent="0.25">
      <c r="A43" s="25" t="s">
        <v>138</v>
      </c>
      <c r="B43" s="25"/>
      <c r="C43" s="25"/>
      <c r="D43" s="26" t="s">
        <v>19</v>
      </c>
      <c r="E43" s="21">
        <f>E44+E45</f>
        <v>3242.4</v>
      </c>
      <c r="F43" s="21">
        <f>F44</f>
        <v>1078</v>
      </c>
      <c r="G43" s="21">
        <f>G44</f>
        <v>52.2</v>
      </c>
      <c r="H43" s="21">
        <f>H44+H45</f>
        <v>30</v>
      </c>
      <c r="I43" s="21">
        <f t="shared" ref="I43:N43" si="8">I44+I45</f>
        <v>10</v>
      </c>
      <c r="J43" s="21">
        <f t="shared" si="8"/>
        <v>0</v>
      </c>
      <c r="K43" s="21">
        <f t="shared" si="8"/>
        <v>0</v>
      </c>
      <c r="L43" s="21">
        <f t="shared" si="8"/>
        <v>20</v>
      </c>
      <c r="M43" s="21">
        <f t="shared" si="8"/>
        <v>20</v>
      </c>
      <c r="N43" s="21">
        <f t="shared" si="8"/>
        <v>20</v>
      </c>
      <c r="O43" s="21">
        <f t="shared" si="3"/>
        <v>3272.4</v>
      </c>
    </row>
    <row r="44" spans="1:15" s="29" customFormat="1" ht="78.75" x14ac:dyDescent="0.25">
      <c r="A44" s="19" t="s">
        <v>139</v>
      </c>
      <c r="B44" s="19" t="s">
        <v>117</v>
      </c>
      <c r="C44" s="19" t="s">
        <v>32</v>
      </c>
      <c r="D44" s="18" t="s">
        <v>118</v>
      </c>
      <c r="E44" s="20">
        <v>1322.4</v>
      </c>
      <c r="F44" s="20">
        <f>884+194</f>
        <v>1078</v>
      </c>
      <c r="G44" s="20">
        <v>52.2</v>
      </c>
      <c r="H44" s="24">
        <f>I44+L44</f>
        <v>30</v>
      </c>
      <c r="I44" s="24">
        <v>10</v>
      </c>
      <c r="J44" s="20"/>
      <c r="K44" s="20"/>
      <c r="L44" s="20">
        <v>20</v>
      </c>
      <c r="M44" s="20">
        <v>20</v>
      </c>
      <c r="N44" s="20">
        <v>20</v>
      </c>
      <c r="O44" s="20">
        <f t="shared" si="3"/>
        <v>1352.4</v>
      </c>
    </row>
    <row r="45" spans="1:15" s="29" customFormat="1" ht="15.75" x14ac:dyDescent="0.25">
      <c r="A45" s="19" t="s">
        <v>142</v>
      </c>
      <c r="B45" s="19" t="s">
        <v>99</v>
      </c>
      <c r="C45" s="19" t="s">
        <v>40</v>
      </c>
      <c r="D45" s="18" t="s">
        <v>121</v>
      </c>
      <c r="E45" s="20">
        <f>1420+500</f>
        <v>1920</v>
      </c>
      <c r="F45" s="20"/>
      <c r="G45" s="20"/>
      <c r="H45" s="20"/>
      <c r="I45" s="20"/>
      <c r="J45" s="20"/>
      <c r="K45" s="20"/>
      <c r="L45" s="20"/>
      <c r="M45" s="20"/>
      <c r="N45" s="20"/>
      <c r="O45" s="20">
        <f t="shared" si="3"/>
        <v>1920</v>
      </c>
    </row>
    <row r="46" spans="1:15" s="30" customFormat="1" ht="31.5" x14ac:dyDescent="0.25">
      <c r="A46" s="25" t="s">
        <v>122</v>
      </c>
      <c r="B46" s="25"/>
      <c r="C46" s="25"/>
      <c r="D46" s="26" t="s">
        <v>14</v>
      </c>
      <c r="E46" s="21">
        <f>E47</f>
        <v>226704.62000000002</v>
      </c>
      <c r="F46" s="21">
        <f t="shared" ref="F46:N46" si="9">F47</f>
        <v>174741.40000000002</v>
      </c>
      <c r="G46" s="21">
        <f t="shared" si="9"/>
        <v>22503.800000000003</v>
      </c>
      <c r="H46" s="21">
        <f t="shared" si="9"/>
        <v>21488.36752</v>
      </c>
      <c r="I46" s="21">
        <f t="shared" si="9"/>
        <v>9386.3009999999995</v>
      </c>
      <c r="J46" s="21">
        <f t="shared" si="9"/>
        <v>0</v>
      </c>
      <c r="K46" s="21">
        <f t="shared" si="9"/>
        <v>0</v>
      </c>
      <c r="L46" s="21">
        <f t="shared" si="9"/>
        <v>12102.06652</v>
      </c>
      <c r="M46" s="21">
        <f t="shared" si="9"/>
        <v>12082.06652</v>
      </c>
      <c r="N46" s="21">
        <f t="shared" si="9"/>
        <v>12082.06652</v>
      </c>
      <c r="O46" s="21">
        <f t="shared" si="3"/>
        <v>248192.98752000002</v>
      </c>
    </row>
    <row r="47" spans="1:15" s="29" customFormat="1" ht="31.5" x14ac:dyDescent="0.25">
      <c r="A47" s="25" t="s">
        <v>123</v>
      </c>
      <c r="B47" s="19"/>
      <c r="C47" s="19"/>
      <c r="D47" s="26" t="s">
        <v>14</v>
      </c>
      <c r="E47" s="21">
        <f>E48+E49+E50+E54+E56+E60+E61+E62+E63+E64+E65+E66+E67+E68</f>
        <v>226704.62000000002</v>
      </c>
      <c r="F47" s="21">
        <f t="shared" ref="F47:N47" si="10">F48+F49+F50+F54+F56+F60+F61+F62+F63+F64+F65+F66+F67+F68</f>
        <v>174741.40000000002</v>
      </c>
      <c r="G47" s="21">
        <f t="shared" si="10"/>
        <v>22503.800000000003</v>
      </c>
      <c r="H47" s="21">
        <f t="shared" si="10"/>
        <v>21488.36752</v>
      </c>
      <c r="I47" s="21">
        <f t="shared" si="10"/>
        <v>9386.3009999999995</v>
      </c>
      <c r="J47" s="21">
        <f t="shared" si="10"/>
        <v>0</v>
      </c>
      <c r="K47" s="21">
        <f t="shared" si="10"/>
        <v>0</v>
      </c>
      <c r="L47" s="21">
        <f t="shared" si="10"/>
        <v>12102.06652</v>
      </c>
      <c r="M47" s="21">
        <f t="shared" si="10"/>
        <v>12082.06652</v>
      </c>
      <c r="N47" s="21">
        <f t="shared" si="10"/>
        <v>12082.06652</v>
      </c>
      <c r="O47" s="21">
        <f t="shared" si="3"/>
        <v>248192.98752000002</v>
      </c>
    </row>
    <row r="48" spans="1:15" s="29" customFormat="1" ht="47.25" x14ac:dyDescent="0.25">
      <c r="A48" s="19" t="s">
        <v>125</v>
      </c>
      <c r="B48" s="19" t="s">
        <v>124</v>
      </c>
      <c r="C48" s="19" t="s">
        <v>32</v>
      </c>
      <c r="D48" s="27" t="s">
        <v>126</v>
      </c>
      <c r="E48" s="20">
        <v>1762.6</v>
      </c>
      <c r="F48" s="20">
        <f>1412+311</f>
        <v>1723</v>
      </c>
      <c r="G48" s="20">
        <v>21.7</v>
      </c>
      <c r="H48" s="20">
        <f t="shared" ref="H48:H68" si="11">I48+L48</f>
        <v>0</v>
      </c>
      <c r="I48" s="20"/>
      <c r="J48" s="20"/>
      <c r="K48" s="20"/>
      <c r="L48" s="20"/>
      <c r="M48" s="20"/>
      <c r="N48" s="20"/>
      <c r="O48" s="20">
        <f t="shared" si="3"/>
        <v>1762.6</v>
      </c>
    </row>
    <row r="49" spans="1:18" s="29" customFormat="1" ht="15.75" x14ac:dyDescent="0.25">
      <c r="A49" s="19" t="s">
        <v>127</v>
      </c>
      <c r="B49" s="19" t="s">
        <v>42</v>
      </c>
      <c r="C49" s="19" t="s">
        <v>43</v>
      </c>
      <c r="D49" s="12" t="s">
        <v>128</v>
      </c>
      <c r="E49" s="28">
        <f>75595.6+238.72</f>
        <v>75834.320000000007</v>
      </c>
      <c r="F49" s="28">
        <f>44857.2+9868.6</f>
        <v>54725.799999999996</v>
      </c>
      <c r="G49" s="28">
        <v>10509.3</v>
      </c>
      <c r="H49" s="20">
        <f t="shared" si="11"/>
        <v>12984.9</v>
      </c>
      <c r="I49" s="28">
        <v>8924.9</v>
      </c>
      <c r="J49" s="28"/>
      <c r="K49" s="28"/>
      <c r="L49" s="28">
        <f>2400+700+960</f>
        <v>4060</v>
      </c>
      <c r="M49" s="28">
        <f>2400+700+960</f>
        <v>4060</v>
      </c>
      <c r="N49" s="28">
        <f>2400+700+960</f>
        <v>4060</v>
      </c>
      <c r="O49" s="20">
        <f t="shared" si="3"/>
        <v>88819.22</v>
      </c>
    </row>
    <row r="50" spans="1:18" s="29" customFormat="1" ht="78.75" x14ac:dyDescent="0.25">
      <c r="A50" s="19" t="s">
        <v>129</v>
      </c>
      <c r="B50" s="19" t="s">
        <v>44</v>
      </c>
      <c r="C50" s="19" t="s">
        <v>45</v>
      </c>
      <c r="D50" s="27" t="s">
        <v>46</v>
      </c>
      <c r="E50" s="28">
        <f>106993.6+360</f>
        <v>107353.60000000001</v>
      </c>
      <c r="F50" s="28">
        <f>75279.3+16561.4</f>
        <v>91840.700000000012</v>
      </c>
      <c r="G50" s="28">
        <v>10334.1</v>
      </c>
      <c r="H50" s="20">
        <f t="shared" si="11"/>
        <v>5225.6000000000004</v>
      </c>
      <c r="I50" s="28">
        <v>295.60000000000002</v>
      </c>
      <c r="J50" s="28"/>
      <c r="K50" s="28"/>
      <c r="L50" s="28">
        <f>1630+2000+1300</f>
        <v>4930</v>
      </c>
      <c r="M50" s="28">
        <f>1630+2000+1300</f>
        <v>4930</v>
      </c>
      <c r="N50" s="28">
        <f>1630+2000+1300</f>
        <v>4930</v>
      </c>
      <c r="O50" s="20">
        <f t="shared" si="3"/>
        <v>112579.20000000001</v>
      </c>
      <c r="Q50" s="51"/>
    </row>
    <row r="51" spans="1:18" s="29" customFormat="1" ht="15.75" x14ac:dyDescent="0.25">
      <c r="A51" s="19"/>
      <c r="B51" s="19"/>
      <c r="C51" s="19"/>
      <c r="D51" s="27" t="s">
        <v>394</v>
      </c>
      <c r="E51" s="28"/>
      <c r="F51" s="28"/>
      <c r="G51" s="28"/>
      <c r="H51" s="20"/>
      <c r="I51" s="28"/>
      <c r="J51" s="28"/>
      <c r="K51" s="28"/>
      <c r="L51" s="28"/>
      <c r="M51" s="28"/>
      <c r="N51" s="28"/>
      <c r="O51" s="20"/>
      <c r="Q51" s="51"/>
    </row>
    <row r="52" spans="1:18" s="37" customFormat="1" ht="47.25" x14ac:dyDescent="0.25">
      <c r="A52" s="35"/>
      <c r="B52" s="35"/>
      <c r="C52" s="35"/>
      <c r="D52" s="36" t="s">
        <v>395</v>
      </c>
      <c r="E52" s="96">
        <v>73022.600000000006</v>
      </c>
      <c r="F52" s="96">
        <v>73022.600000000006</v>
      </c>
      <c r="G52" s="96"/>
      <c r="H52" s="97">
        <f>I52+L52</f>
        <v>0</v>
      </c>
      <c r="I52" s="96"/>
      <c r="J52" s="96"/>
      <c r="K52" s="96"/>
      <c r="L52" s="96"/>
      <c r="M52" s="96"/>
      <c r="N52" s="96"/>
      <c r="O52" s="97">
        <f>E52+H52</f>
        <v>73022.600000000006</v>
      </c>
      <c r="R52" s="98"/>
    </row>
    <row r="53" spans="1:18" s="37" customFormat="1" ht="78.75" x14ac:dyDescent="0.25">
      <c r="A53" s="35"/>
      <c r="B53" s="35"/>
      <c r="C53" s="35"/>
      <c r="D53" s="79" t="s">
        <v>396</v>
      </c>
      <c r="E53" s="80">
        <v>300</v>
      </c>
      <c r="F53" s="80"/>
      <c r="G53" s="80"/>
      <c r="H53" s="76">
        <f>I53+L53</f>
        <v>700</v>
      </c>
      <c r="I53" s="80"/>
      <c r="J53" s="80"/>
      <c r="K53" s="80"/>
      <c r="L53" s="80">
        <v>700</v>
      </c>
      <c r="M53" s="80">
        <v>700</v>
      </c>
      <c r="N53" s="80">
        <v>700</v>
      </c>
      <c r="O53" s="76">
        <f>E53+H53</f>
        <v>1000</v>
      </c>
    </row>
    <row r="54" spans="1:18" s="29" customFormat="1" ht="31.5" x14ac:dyDescent="0.25">
      <c r="A54" s="19" t="s">
        <v>130</v>
      </c>
      <c r="B54" s="19" t="s">
        <v>47</v>
      </c>
      <c r="C54" s="19" t="s">
        <v>45</v>
      </c>
      <c r="D54" s="27" t="s">
        <v>48</v>
      </c>
      <c r="E54" s="28">
        <v>761.8</v>
      </c>
      <c r="F54" s="28">
        <f>490.8+202.9</f>
        <v>693.7</v>
      </c>
      <c r="G54" s="28">
        <v>64</v>
      </c>
      <c r="H54" s="20">
        <f t="shared" si="11"/>
        <v>0</v>
      </c>
      <c r="I54" s="28"/>
      <c r="J54" s="28"/>
      <c r="K54" s="28"/>
      <c r="L54" s="28"/>
      <c r="M54" s="28"/>
      <c r="N54" s="28"/>
      <c r="O54" s="20">
        <f t="shared" si="3"/>
        <v>761.8</v>
      </c>
      <c r="R54" s="52"/>
    </row>
    <row r="55" spans="1:18" s="37" customFormat="1" ht="63" x14ac:dyDescent="0.25">
      <c r="A55" s="35"/>
      <c r="B55" s="35"/>
      <c r="C55" s="35"/>
      <c r="D55" s="36" t="s">
        <v>26</v>
      </c>
      <c r="E55" s="96">
        <v>543.6</v>
      </c>
      <c r="F55" s="96">
        <v>543.6</v>
      </c>
      <c r="G55" s="96"/>
      <c r="H55" s="97">
        <f t="shared" si="11"/>
        <v>0</v>
      </c>
      <c r="I55" s="96"/>
      <c r="J55" s="96"/>
      <c r="K55" s="96"/>
      <c r="L55" s="96"/>
      <c r="M55" s="96"/>
      <c r="N55" s="96"/>
      <c r="O55" s="97">
        <f t="shared" si="3"/>
        <v>543.6</v>
      </c>
      <c r="R55" s="98"/>
    </row>
    <row r="56" spans="1:18" s="29" customFormat="1" ht="94.5" x14ac:dyDescent="0.25">
      <c r="A56" s="19" t="s">
        <v>131</v>
      </c>
      <c r="B56" s="19" t="s">
        <v>76</v>
      </c>
      <c r="C56" s="19" t="s">
        <v>49</v>
      </c>
      <c r="D56" s="27" t="s">
        <v>107</v>
      </c>
      <c r="E56" s="28">
        <f>8280.4+80</f>
        <v>8360.4</v>
      </c>
      <c r="F56" s="28">
        <f>5752.3+1265.5</f>
        <v>7017.8</v>
      </c>
      <c r="G56" s="28">
        <v>624.20000000000005</v>
      </c>
      <c r="H56" s="20">
        <f t="shared" si="11"/>
        <v>622.06652000000008</v>
      </c>
      <c r="I56" s="28"/>
      <c r="J56" s="28"/>
      <c r="K56" s="28"/>
      <c r="L56" s="28">
        <f>300+322.06652</f>
        <v>622.06652000000008</v>
      </c>
      <c r="M56" s="28">
        <f>300+322.06652</f>
        <v>622.06652000000008</v>
      </c>
      <c r="N56" s="28">
        <f>300+322.06652</f>
        <v>622.06652000000008</v>
      </c>
      <c r="O56" s="20">
        <f t="shared" si="3"/>
        <v>8982.4665199999999</v>
      </c>
    </row>
    <row r="57" spans="1:18" s="29" customFormat="1" ht="15.75" x14ac:dyDescent="0.25">
      <c r="A57" s="19"/>
      <c r="B57" s="19"/>
      <c r="C57" s="19"/>
      <c r="D57" s="27" t="s">
        <v>394</v>
      </c>
      <c r="E57" s="28"/>
      <c r="F57" s="28"/>
      <c r="G57" s="28"/>
      <c r="H57" s="20"/>
      <c r="I57" s="28"/>
      <c r="J57" s="28"/>
      <c r="K57" s="28"/>
      <c r="L57" s="28"/>
      <c r="M57" s="28"/>
      <c r="N57" s="28"/>
      <c r="O57" s="20"/>
    </row>
    <row r="58" spans="1:18" s="37" customFormat="1" ht="47.25" x14ac:dyDescent="0.25">
      <c r="A58" s="35"/>
      <c r="B58" s="35"/>
      <c r="C58" s="35"/>
      <c r="D58" s="36" t="s">
        <v>395</v>
      </c>
      <c r="E58" s="96">
        <v>6002.5</v>
      </c>
      <c r="F58" s="96">
        <v>6002.5</v>
      </c>
      <c r="G58" s="96"/>
      <c r="H58" s="97">
        <f t="shared" si="11"/>
        <v>0</v>
      </c>
      <c r="I58" s="96"/>
      <c r="J58" s="96"/>
      <c r="K58" s="96"/>
      <c r="L58" s="96"/>
      <c r="M58" s="96"/>
      <c r="N58" s="96"/>
      <c r="O58" s="97">
        <f t="shared" si="3"/>
        <v>6002.5</v>
      </c>
    </row>
    <row r="59" spans="1:18" s="37" customFormat="1" ht="78.75" x14ac:dyDescent="0.25">
      <c r="A59" s="35"/>
      <c r="B59" s="35"/>
      <c r="C59" s="35"/>
      <c r="D59" s="79" t="s">
        <v>396</v>
      </c>
      <c r="E59" s="80"/>
      <c r="F59" s="80"/>
      <c r="G59" s="80"/>
      <c r="H59" s="76">
        <f>I59+L59</f>
        <v>282.06652000000003</v>
      </c>
      <c r="I59" s="80"/>
      <c r="J59" s="80"/>
      <c r="K59" s="80"/>
      <c r="L59" s="80">
        <v>282.06652000000003</v>
      </c>
      <c r="M59" s="80">
        <v>282.06652000000003</v>
      </c>
      <c r="N59" s="80">
        <v>282.06652000000003</v>
      </c>
      <c r="O59" s="76">
        <f t="shared" si="3"/>
        <v>282.06652000000003</v>
      </c>
    </row>
    <row r="60" spans="1:18" s="29" customFormat="1" ht="47.25" x14ac:dyDescent="0.25">
      <c r="A60" s="19" t="s">
        <v>132</v>
      </c>
      <c r="B60" s="19" t="s">
        <v>33</v>
      </c>
      <c r="C60" s="19" t="s">
        <v>50</v>
      </c>
      <c r="D60" s="27" t="s">
        <v>51</v>
      </c>
      <c r="E60" s="28">
        <f>11228+140</f>
        <v>11368</v>
      </c>
      <c r="F60" s="28">
        <f>7712.8+1696.8</f>
        <v>9409.6</v>
      </c>
      <c r="G60" s="28">
        <v>377.7</v>
      </c>
      <c r="H60" s="20">
        <f t="shared" si="11"/>
        <v>1155.8</v>
      </c>
      <c r="I60" s="28">
        <v>165.8</v>
      </c>
      <c r="J60" s="28"/>
      <c r="K60" s="28"/>
      <c r="L60" s="28">
        <f>20+970</f>
        <v>990</v>
      </c>
      <c r="M60" s="28">
        <v>970</v>
      </c>
      <c r="N60" s="28">
        <v>970</v>
      </c>
      <c r="O60" s="20">
        <f t="shared" si="3"/>
        <v>12523.8</v>
      </c>
    </row>
    <row r="61" spans="1:18" s="29" customFormat="1" ht="31.5" x14ac:dyDescent="0.25">
      <c r="A61" s="19" t="s">
        <v>135</v>
      </c>
      <c r="B61" s="19" t="s">
        <v>133</v>
      </c>
      <c r="C61" s="19" t="s">
        <v>52</v>
      </c>
      <c r="D61" s="12" t="s">
        <v>134</v>
      </c>
      <c r="E61" s="28">
        <v>180.5</v>
      </c>
      <c r="F61" s="28"/>
      <c r="G61" s="28"/>
      <c r="H61" s="20">
        <f t="shared" si="11"/>
        <v>0</v>
      </c>
      <c r="I61" s="28"/>
      <c r="J61" s="28"/>
      <c r="K61" s="28"/>
      <c r="L61" s="28"/>
      <c r="M61" s="28"/>
      <c r="N61" s="28"/>
      <c r="O61" s="20">
        <f t="shared" si="3"/>
        <v>180.5</v>
      </c>
    </row>
    <row r="62" spans="1:18" s="29" customFormat="1" ht="31.5" x14ac:dyDescent="0.25">
      <c r="A62" s="19" t="s">
        <v>151</v>
      </c>
      <c r="B62" s="19" t="s">
        <v>150</v>
      </c>
      <c r="C62" s="19" t="s">
        <v>53</v>
      </c>
      <c r="D62" s="27" t="s">
        <v>152</v>
      </c>
      <c r="E62" s="28">
        <f>1827.8-315.1</f>
        <v>1512.6999999999998</v>
      </c>
      <c r="F62" s="28">
        <f>1358.3+298.8-315.1</f>
        <v>1342</v>
      </c>
      <c r="G62" s="28">
        <v>26.2</v>
      </c>
      <c r="H62" s="20">
        <f t="shared" si="11"/>
        <v>0</v>
      </c>
      <c r="I62" s="28"/>
      <c r="J62" s="28"/>
      <c r="K62" s="28"/>
      <c r="L62" s="28"/>
      <c r="M62" s="28"/>
      <c r="N62" s="28"/>
      <c r="O62" s="20">
        <f t="shared" si="3"/>
        <v>1512.6999999999998</v>
      </c>
    </row>
    <row r="63" spans="1:18" s="29" customFormat="1" ht="31.5" x14ac:dyDescent="0.25">
      <c r="A63" s="19" t="s">
        <v>285</v>
      </c>
      <c r="B63" s="19" t="s">
        <v>284</v>
      </c>
      <c r="C63" s="19" t="s">
        <v>53</v>
      </c>
      <c r="D63" s="27" t="s">
        <v>324</v>
      </c>
      <c r="E63" s="28">
        <f>2705.8-1827.8+2313.9+1584.5+315.1+20</f>
        <v>5111.5000000000009</v>
      </c>
      <c r="F63" s="28">
        <f>2073.1+456.1-1657.1+812.7+178.8+1763.4+388+315.1</f>
        <v>4330.1000000000004</v>
      </c>
      <c r="G63" s="28">
        <f>46.6+235.1</f>
        <v>281.7</v>
      </c>
      <c r="H63" s="20">
        <f t="shared" si="11"/>
        <v>1E-3</v>
      </c>
      <c r="I63" s="28">
        <v>1E-3</v>
      </c>
      <c r="J63" s="28"/>
      <c r="K63" s="28"/>
      <c r="L63" s="28"/>
      <c r="M63" s="28"/>
      <c r="N63" s="28"/>
      <c r="O63" s="20">
        <f t="shared" si="3"/>
        <v>5111.5010000000011</v>
      </c>
    </row>
    <row r="64" spans="1:18" s="29" customFormat="1" ht="15.75" x14ac:dyDescent="0.25">
      <c r="A64" s="19" t="s">
        <v>325</v>
      </c>
      <c r="B64" s="19" t="s">
        <v>326</v>
      </c>
      <c r="C64" s="19" t="s">
        <v>53</v>
      </c>
      <c r="D64" s="27" t="s">
        <v>327</v>
      </c>
      <c r="E64" s="28">
        <v>40.9</v>
      </c>
      <c r="F64" s="28"/>
      <c r="G64" s="28"/>
      <c r="H64" s="20"/>
      <c r="I64" s="28"/>
      <c r="J64" s="28"/>
      <c r="K64" s="28"/>
      <c r="L64" s="28"/>
      <c r="M64" s="28"/>
      <c r="N64" s="28"/>
      <c r="O64" s="20"/>
    </row>
    <row r="65" spans="1:15" s="29" customFormat="1" ht="78.75" x14ac:dyDescent="0.25">
      <c r="A65" s="19" t="s">
        <v>136</v>
      </c>
      <c r="B65" s="19" t="s">
        <v>61</v>
      </c>
      <c r="C65" s="19" t="s">
        <v>54</v>
      </c>
      <c r="D65" s="12" t="s">
        <v>55</v>
      </c>
      <c r="E65" s="20">
        <v>1031.7</v>
      </c>
      <c r="F65" s="20"/>
      <c r="G65" s="20"/>
      <c r="H65" s="20">
        <f t="shared" si="11"/>
        <v>0</v>
      </c>
      <c r="I65" s="20"/>
      <c r="J65" s="20"/>
      <c r="K65" s="20"/>
      <c r="L65" s="20"/>
      <c r="M65" s="20"/>
      <c r="N65" s="20"/>
      <c r="O65" s="20">
        <f t="shared" si="3"/>
        <v>1031.7</v>
      </c>
    </row>
    <row r="66" spans="1:15" s="29" customFormat="1" ht="31.5" x14ac:dyDescent="0.25">
      <c r="A66" s="19" t="s">
        <v>321</v>
      </c>
      <c r="B66" s="19" t="s">
        <v>318</v>
      </c>
      <c r="C66" s="19" t="s">
        <v>33</v>
      </c>
      <c r="D66" s="27" t="s">
        <v>319</v>
      </c>
      <c r="E66" s="20">
        <v>9000.4</v>
      </c>
      <c r="F66" s="20"/>
      <c r="G66" s="20"/>
      <c r="H66" s="20">
        <f t="shared" si="11"/>
        <v>0</v>
      </c>
      <c r="I66" s="20"/>
      <c r="J66" s="20"/>
      <c r="K66" s="20"/>
      <c r="L66" s="20"/>
      <c r="M66" s="20"/>
      <c r="N66" s="20"/>
      <c r="O66" s="20">
        <f t="shared" si="3"/>
        <v>9000.4</v>
      </c>
    </row>
    <row r="67" spans="1:15" s="29" customFormat="1" ht="47.25" x14ac:dyDescent="0.25">
      <c r="A67" s="19" t="s">
        <v>143</v>
      </c>
      <c r="B67" s="19" t="s">
        <v>110</v>
      </c>
      <c r="C67" s="19" t="s">
        <v>56</v>
      </c>
      <c r="D67" s="12" t="s">
        <v>57</v>
      </c>
      <c r="E67" s="28">
        <f>4326.2+60</f>
        <v>4386.2</v>
      </c>
      <c r="F67" s="28">
        <f>2998.9+659.8</f>
        <v>3658.7</v>
      </c>
      <c r="G67" s="28">
        <v>264.89999999999998</v>
      </c>
      <c r="H67" s="20">
        <f t="shared" si="11"/>
        <v>0</v>
      </c>
      <c r="I67" s="28"/>
      <c r="J67" s="28"/>
      <c r="K67" s="28"/>
      <c r="L67" s="28"/>
      <c r="M67" s="28"/>
      <c r="N67" s="28"/>
      <c r="O67" s="20">
        <f t="shared" si="3"/>
        <v>4386.2</v>
      </c>
    </row>
    <row r="68" spans="1:15" s="29" customFormat="1" ht="31.5" x14ac:dyDescent="0.25">
      <c r="A68" s="19" t="s">
        <v>379</v>
      </c>
      <c r="B68" s="19" t="s">
        <v>291</v>
      </c>
      <c r="C68" s="19" t="s">
        <v>58</v>
      </c>
      <c r="D68" s="18" t="s">
        <v>258</v>
      </c>
      <c r="E68" s="77"/>
      <c r="F68" s="77"/>
      <c r="G68" s="77"/>
      <c r="H68" s="24">
        <f t="shared" si="11"/>
        <v>1500</v>
      </c>
      <c r="I68" s="77"/>
      <c r="J68" s="77"/>
      <c r="K68" s="77"/>
      <c r="L68" s="77">
        <v>1500</v>
      </c>
      <c r="M68" s="77">
        <v>1500</v>
      </c>
      <c r="N68" s="77">
        <v>1500</v>
      </c>
      <c r="O68" s="24">
        <f t="shared" si="3"/>
        <v>1500</v>
      </c>
    </row>
    <row r="69" spans="1:15" s="30" customFormat="1" ht="47.25" x14ac:dyDescent="0.25">
      <c r="A69" s="25" t="s">
        <v>144</v>
      </c>
      <c r="B69" s="25"/>
      <c r="C69" s="25"/>
      <c r="D69" s="26" t="s">
        <v>20</v>
      </c>
      <c r="E69" s="21">
        <f>E70</f>
        <v>144332.02000000002</v>
      </c>
      <c r="F69" s="21">
        <f t="shared" ref="F69:N69" si="12">F70</f>
        <v>14729.1</v>
      </c>
      <c r="G69" s="21">
        <f t="shared" si="12"/>
        <v>403.6</v>
      </c>
      <c r="H69" s="21">
        <f t="shared" si="12"/>
        <v>50</v>
      </c>
      <c r="I69" s="21">
        <f t="shared" si="12"/>
        <v>0</v>
      </c>
      <c r="J69" s="21">
        <f t="shared" si="12"/>
        <v>0</v>
      </c>
      <c r="K69" s="21">
        <f t="shared" si="12"/>
        <v>0</v>
      </c>
      <c r="L69" s="21">
        <f t="shared" si="12"/>
        <v>50</v>
      </c>
      <c r="M69" s="21">
        <f t="shared" si="12"/>
        <v>36</v>
      </c>
      <c r="N69" s="21">
        <f t="shared" si="12"/>
        <v>36</v>
      </c>
      <c r="O69" s="21">
        <f t="shared" si="3"/>
        <v>144382.02000000002</v>
      </c>
    </row>
    <row r="70" spans="1:15" s="29" customFormat="1" ht="47.25" x14ac:dyDescent="0.25">
      <c r="A70" s="25" t="s">
        <v>145</v>
      </c>
      <c r="B70" s="19"/>
      <c r="C70" s="19"/>
      <c r="D70" s="26" t="s">
        <v>20</v>
      </c>
      <c r="E70" s="21">
        <f>E71+E72+E91+E92+E93+E89+E94+E73+E74+E75+E76+E77+E78+E79+E80+E81+E82+E83+E84+E85+E86+E88+E90+E87</f>
        <v>144332.02000000002</v>
      </c>
      <c r="F70" s="21">
        <f t="shared" ref="F70:N70" si="13">F71+F72+F91+F92+F93+F89+F94+F73+F74+F75+F76+F77+F78+F79+F80+F81+F82+F83+F84+F85+F86+F88+F90+F87</f>
        <v>14729.1</v>
      </c>
      <c r="G70" s="21">
        <f t="shared" si="13"/>
        <v>403.6</v>
      </c>
      <c r="H70" s="21">
        <f t="shared" si="13"/>
        <v>50</v>
      </c>
      <c r="I70" s="21">
        <f t="shared" si="13"/>
        <v>0</v>
      </c>
      <c r="J70" s="21">
        <f t="shared" si="13"/>
        <v>0</v>
      </c>
      <c r="K70" s="21">
        <f t="shared" si="13"/>
        <v>0</v>
      </c>
      <c r="L70" s="21">
        <f t="shared" si="13"/>
        <v>50</v>
      </c>
      <c r="M70" s="21">
        <f t="shared" si="13"/>
        <v>36</v>
      </c>
      <c r="N70" s="21">
        <f t="shared" si="13"/>
        <v>36</v>
      </c>
      <c r="O70" s="21">
        <f t="shared" si="3"/>
        <v>144382.02000000002</v>
      </c>
    </row>
    <row r="71" spans="1:15" s="29" customFormat="1" ht="47.25" x14ac:dyDescent="0.25">
      <c r="A71" s="19" t="s">
        <v>146</v>
      </c>
      <c r="B71" s="19" t="s">
        <v>124</v>
      </c>
      <c r="C71" s="19" t="s">
        <v>32</v>
      </c>
      <c r="D71" s="18" t="s">
        <v>126</v>
      </c>
      <c r="E71" s="20">
        <f>8717.1+175.72</f>
        <v>8892.82</v>
      </c>
      <c r="F71" s="20">
        <f>6646+1462</f>
        <v>8108</v>
      </c>
      <c r="G71" s="20">
        <v>241.9</v>
      </c>
      <c r="H71" s="20">
        <f>I71+L71</f>
        <v>36</v>
      </c>
      <c r="I71" s="20"/>
      <c r="J71" s="20"/>
      <c r="K71" s="20"/>
      <c r="L71" s="20">
        <v>36</v>
      </c>
      <c r="M71" s="20">
        <v>36</v>
      </c>
      <c r="N71" s="20">
        <v>36</v>
      </c>
      <c r="O71" s="20">
        <f t="shared" si="3"/>
        <v>8928.82</v>
      </c>
    </row>
    <row r="72" spans="1:15" s="16" customFormat="1" ht="15.75" x14ac:dyDescent="0.25">
      <c r="A72" s="19" t="s">
        <v>387</v>
      </c>
      <c r="B72" s="19" t="s">
        <v>41</v>
      </c>
      <c r="C72" s="19" t="s">
        <v>37</v>
      </c>
      <c r="D72" s="85" t="s">
        <v>207</v>
      </c>
      <c r="E72" s="24">
        <v>23</v>
      </c>
      <c r="F72" s="41"/>
      <c r="G72" s="41"/>
      <c r="H72" s="41"/>
      <c r="I72" s="41"/>
      <c r="J72" s="41"/>
      <c r="K72" s="41"/>
      <c r="L72" s="41"/>
      <c r="M72" s="41"/>
      <c r="N72" s="41"/>
      <c r="O72" s="24">
        <f t="shared" si="3"/>
        <v>23</v>
      </c>
    </row>
    <row r="73" spans="1:15" s="99" customFormat="1" ht="47.25" x14ac:dyDescent="0.25">
      <c r="A73" s="19" t="s">
        <v>220</v>
      </c>
      <c r="B73" s="19" t="s">
        <v>72</v>
      </c>
      <c r="C73" s="19" t="s">
        <v>47</v>
      </c>
      <c r="D73" s="12" t="s">
        <v>219</v>
      </c>
      <c r="E73" s="20">
        <v>8610.7000000000007</v>
      </c>
      <c r="F73" s="20"/>
      <c r="G73" s="20"/>
      <c r="H73" s="21"/>
      <c r="I73" s="20"/>
      <c r="J73" s="20"/>
      <c r="K73" s="20"/>
      <c r="L73" s="20"/>
      <c r="M73" s="20"/>
      <c r="N73" s="20"/>
      <c r="O73" s="20">
        <f t="shared" si="3"/>
        <v>8610.7000000000007</v>
      </c>
    </row>
    <row r="74" spans="1:15" s="99" customFormat="1" ht="47.25" x14ac:dyDescent="0.25">
      <c r="A74" s="19" t="s">
        <v>221</v>
      </c>
      <c r="B74" s="19" t="s">
        <v>75</v>
      </c>
      <c r="C74" s="19" t="s">
        <v>47</v>
      </c>
      <c r="D74" s="12" t="s">
        <v>91</v>
      </c>
      <c r="E74" s="20">
        <v>28827</v>
      </c>
      <c r="F74" s="20"/>
      <c r="G74" s="20"/>
      <c r="H74" s="21"/>
      <c r="I74" s="20"/>
      <c r="J74" s="20"/>
      <c r="K74" s="20"/>
      <c r="L74" s="20"/>
      <c r="M74" s="20"/>
      <c r="N74" s="20"/>
      <c r="O74" s="20">
        <f t="shared" si="3"/>
        <v>28827</v>
      </c>
    </row>
    <row r="75" spans="1:15" s="99" customFormat="1" ht="63" x14ac:dyDescent="0.25">
      <c r="A75" s="19" t="s">
        <v>223</v>
      </c>
      <c r="B75" s="19" t="s">
        <v>73</v>
      </c>
      <c r="C75" s="19" t="s">
        <v>47</v>
      </c>
      <c r="D75" s="12" t="s">
        <v>222</v>
      </c>
      <c r="E75" s="20">
        <v>85</v>
      </c>
      <c r="F75" s="20"/>
      <c r="G75" s="20"/>
      <c r="H75" s="21"/>
      <c r="I75" s="20"/>
      <c r="J75" s="20"/>
      <c r="K75" s="20"/>
      <c r="L75" s="20"/>
      <c r="M75" s="20"/>
      <c r="N75" s="20"/>
      <c r="O75" s="20">
        <f t="shared" si="3"/>
        <v>85</v>
      </c>
    </row>
    <row r="76" spans="1:15" s="99" customFormat="1" ht="63" x14ac:dyDescent="0.25">
      <c r="A76" s="19" t="s">
        <v>225</v>
      </c>
      <c r="B76" s="19" t="s">
        <v>224</v>
      </c>
      <c r="C76" s="19" t="s">
        <v>68</v>
      </c>
      <c r="D76" s="12" t="s">
        <v>92</v>
      </c>
      <c r="E76" s="20">
        <v>170</v>
      </c>
      <c r="F76" s="20"/>
      <c r="G76" s="20"/>
      <c r="H76" s="21"/>
      <c r="I76" s="20"/>
      <c r="J76" s="20"/>
      <c r="K76" s="20"/>
      <c r="L76" s="20"/>
      <c r="M76" s="20"/>
      <c r="N76" s="20"/>
      <c r="O76" s="20">
        <f t="shared" si="3"/>
        <v>170</v>
      </c>
    </row>
    <row r="77" spans="1:15" s="99" customFormat="1" ht="31.5" x14ac:dyDescent="0.25">
      <c r="A77" s="19" t="s">
        <v>227</v>
      </c>
      <c r="B77" s="19" t="s">
        <v>74</v>
      </c>
      <c r="C77" s="19" t="s">
        <v>47</v>
      </c>
      <c r="D77" s="12" t="s">
        <v>226</v>
      </c>
      <c r="E77" s="20">
        <v>309</v>
      </c>
      <c r="F77" s="20"/>
      <c r="G77" s="20"/>
      <c r="H77" s="21"/>
      <c r="I77" s="20"/>
      <c r="J77" s="20"/>
      <c r="K77" s="20"/>
      <c r="L77" s="20"/>
      <c r="M77" s="20"/>
      <c r="N77" s="20"/>
      <c r="O77" s="20">
        <f t="shared" si="3"/>
        <v>309</v>
      </c>
    </row>
    <row r="78" spans="1:15" s="99" customFormat="1" ht="31.5" x14ac:dyDescent="0.25">
      <c r="A78" s="19" t="s">
        <v>228</v>
      </c>
      <c r="B78" s="19" t="s">
        <v>229</v>
      </c>
      <c r="C78" s="19" t="s">
        <v>76</v>
      </c>
      <c r="D78" s="12" t="s">
        <v>77</v>
      </c>
      <c r="E78" s="20">
        <v>220</v>
      </c>
      <c r="F78" s="20"/>
      <c r="G78" s="20"/>
      <c r="H78" s="21"/>
      <c r="I78" s="20"/>
      <c r="J78" s="20"/>
      <c r="K78" s="20"/>
      <c r="L78" s="20"/>
      <c r="M78" s="20"/>
      <c r="N78" s="20"/>
      <c r="O78" s="20">
        <f t="shared" si="3"/>
        <v>220</v>
      </c>
    </row>
    <row r="79" spans="1:15" s="16" customFormat="1" ht="31.5" x14ac:dyDescent="0.25">
      <c r="A79" s="19" t="s">
        <v>230</v>
      </c>
      <c r="B79" s="19" t="s">
        <v>78</v>
      </c>
      <c r="C79" s="19" t="s">
        <v>54</v>
      </c>
      <c r="D79" s="18" t="s">
        <v>79</v>
      </c>
      <c r="E79" s="20">
        <v>726.6</v>
      </c>
      <c r="F79" s="20"/>
      <c r="G79" s="20"/>
      <c r="H79" s="21"/>
      <c r="I79" s="20"/>
      <c r="J79" s="20"/>
      <c r="K79" s="20"/>
      <c r="L79" s="20"/>
      <c r="M79" s="20"/>
      <c r="N79" s="20"/>
      <c r="O79" s="20">
        <f t="shared" si="3"/>
        <v>726.6</v>
      </c>
    </row>
    <row r="80" spans="1:15" s="16" customFormat="1" ht="15.75" x14ac:dyDescent="0.25">
      <c r="A80" s="19" t="s">
        <v>231</v>
      </c>
      <c r="B80" s="19" t="s">
        <v>80</v>
      </c>
      <c r="C80" s="19" t="s">
        <v>54</v>
      </c>
      <c r="D80" s="39" t="s">
        <v>89</v>
      </c>
      <c r="E80" s="24">
        <v>181.3</v>
      </c>
      <c r="F80" s="20"/>
      <c r="G80" s="20"/>
      <c r="H80" s="21"/>
      <c r="I80" s="20"/>
      <c r="J80" s="20"/>
      <c r="K80" s="20"/>
      <c r="L80" s="20"/>
      <c r="M80" s="20"/>
      <c r="N80" s="20"/>
      <c r="O80" s="20">
        <f t="shared" si="3"/>
        <v>181.3</v>
      </c>
    </row>
    <row r="81" spans="1:15" s="16" customFormat="1" ht="15.75" x14ac:dyDescent="0.25">
      <c r="A81" s="19" t="s">
        <v>232</v>
      </c>
      <c r="B81" s="19" t="s">
        <v>81</v>
      </c>
      <c r="C81" s="19" t="s">
        <v>54</v>
      </c>
      <c r="D81" s="18" t="s">
        <v>82</v>
      </c>
      <c r="E81" s="20">
        <f>43161.5-3600</f>
        <v>39561.5</v>
      </c>
      <c r="F81" s="20"/>
      <c r="G81" s="20"/>
      <c r="H81" s="21"/>
      <c r="I81" s="20"/>
      <c r="J81" s="20"/>
      <c r="K81" s="20"/>
      <c r="L81" s="20"/>
      <c r="M81" s="20"/>
      <c r="N81" s="20"/>
      <c r="O81" s="20">
        <f t="shared" si="3"/>
        <v>39561.5</v>
      </c>
    </row>
    <row r="82" spans="1:15" s="16" customFormat="1" ht="31.5" x14ac:dyDescent="0.25">
      <c r="A82" s="19" t="s">
        <v>233</v>
      </c>
      <c r="B82" s="19" t="s">
        <v>83</v>
      </c>
      <c r="C82" s="19" t="s">
        <v>54</v>
      </c>
      <c r="D82" s="18" t="s">
        <v>84</v>
      </c>
      <c r="E82" s="20">
        <v>4537.8</v>
      </c>
      <c r="F82" s="20"/>
      <c r="G82" s="20"/>
      <c r="H82" s="21"/>
      <c r="I82" s="20"/>
      <c r="J82" s="20"/>
      <c r="K82" s="20"/>
      <c r="L82" s="20"/>
      <c r="M82" s="20"/>
      <c r="N82" s="20"/>
      <c r="O82" s="20">
        <f t="shared" si="3"/>
        <v>4537.8</v>
      </c>
    </row>
    <row r="83" spans="1:15" s="16" customFormat="1" ht="31.5" x14ac:dyDescent="0.25">
      <c r="A83" s="19" t="s">
        <v>234</v>
      </c>
      <c r="B83" s="19" t="s">
        <v>87</v>
      </c>
      <c r="C83" s="19" t="s">
        <v>54</v>
      </c>
      <c r="D83" s="18" t="s">
        <v>86</v>
      </c>
      <c r="E83" s="20">
        <v>7502.6</v>
      </c>
      <c r="F83" s="20"/>
      <c r="G83" s="20"/>
      <c r="H83" s="21"/>
      <c r="I83" s="20"/>
      <c r="J83" s="20"/>
      <c r="K83" s="20"/>
      <c r="L83" s="20"/>
      <c r="M83" s="20"/>
      <c r="N83" s="20"/>
      <c r="O83" s="20">
        <f t="shared" si="3"/>
        <v>7502.6</v>
      </c>
    </row>
    <row r="84" spans="1:15" s="16" customFormat="1" ht="31.5" x14ac:dyDescent="0.25">
      <c r="A84" s="19" t="s">
        <v>235</v>
      </c>
      <c r="B84" s="19" t="s">
        <v>85</v>
      </c>
      <c r="C84" s="19" t="s">
        <v>54</v>
      </c>
      <c r="D84" s="18" t="s">
        <v>116</v>
      </c>
      <c r="E84" s="20">
        <v>383.3</v>
      </c>
      <c r="F84" s="20"/>
      <c r="G84" s="20"/>
      <c r="H84" s="21"/>
      <c r="I84" s="20"/>
      <c r="J84" s="20"/>
      <c r="K84" s="20"/>
      <c r="L84" s="20"/>
      <c r="M84" s="20"/>
      <c r="N84" s="20"/>
      <c r="O84" s="20">
        <f t="shared" si="3"/>
        <v>383.3</v>
      </c>
    </row>
    <row r="85" spans="1:15" s="16" customFormat="1" ht="31.5" x14ac:dyDescent="0.25">
      <c r="A85" s="19" t="s">
        <v>236</v>
      </c>
      <c r="B85" s="19" t="s">
        <v>88</v>
      </c>
      <c r="C85" s="19" t="s">
        <v>54</v>
      </c>
      <c r="D85" s="18" t="s">
        <v>90</v>
      </c>
      <c r="E85" s="20">
        <v>6280.2</v>
      </c>
      <c r="F85" s="20"/>
      <c r="G85" s="20"/>
      <c r="H85" s="21"/>
      <c r="I85" s="20"/>
      <c r="J85" s="20"/>
      <c r="K85" s="20"/>
      <c r="L85" s="20"/>
      <c r="M85" s="20"/>
      <c r="N85" s="20"/>
      <c r="O85" s="24">
        <f t="shared" si="3"/>
        <v>6280.2</v>
      </c>
    </row>
    <row r="86" spans="1:15" s="16" customFormat="1" ht="47.25" x14ac:dyDescent="0.25">
      <c r="A86" s="19" t="s">
        <v>302</v>
      </c>
      <c r="B86" s="19" t="s">
        <v>304</v>
      </c>
      <c r="C86" s="19" t="s">
        <v>42</v>
      </c>
      <c r="D86" s="12" t="s">
        <v>306</v>
      </c>
      <c r="E86" s="20">
        <v>9025.4</v>
      </c>
      <c r="F86" s="20"/>
      <c r="G86" s="20"/>
      <c r="H86" s="21"/>
      <c r="I86" s="20"/>
      <c r="J86" s="20"/>
      <c r="K86" s="20"/>
      <c r="L86" s="20"/>
      <c r="M86" s="20"/>
      <c r="N86" s="20"/>
      <c r="O86" s="20">
        <f t="shared" si="3"/>
        <v>9025.4</v>
      </c>
    </row>
    <row r="87" spans="1:15" s="16" customFormat="1" ht="63" x14ac:dyDescent="0.25">
      <c r="A87" s="19" t="s">
        <v>302</v>
      </c>
      <c r="B87" s="19" t="s">
        <v>328</v>
      </c>
      <c r="C87" s="19" t="s">
        <v>42</v>
      </c>
      <c r="D87" s="12" t="s">
        <v>329</v>
      </c>
      <c r="E87" s="20">
        <v>3600</v>
      </c>
      <c r="F87" s="20"/>
      <c r="G87" s="20"/>
      <c r="H87" s="21"/>
      <c r="I87" s="20"/>
      <c r="J87" s="20"/>
      <c r="K87" s="20"/>
      <c r="L87" s="20"/>
      <c r="M87" s="20"/>
      <c r="N87" s="20"/>
      <c r="O87" s="20">
        <f t="shared" si="3"/>
        <v>3600</v>
      </c>
    </row>
    <row r="88" spans="1:15" s="16" customFormat="1" ht="47.25" x14ac:dyDescent="0.25">
      <c r="A88" s="19" t="s">
        <v>303</v>
      </c>
      <c r="B88" s="19" t="s">
        <v>305</v>
      </c>
      <c r="C88" s="19" t="s">
        <v>42</v>
      </c>
      <c r="D88" s="12" t="s">
        <v>307</v>
      </c>
      <c r="E88" s="20">
        <v>1001.3</v>
      </c>
      <c r="F88" s="21"/>
      <c r="G88" s="21"/>
      <c r="H88" s="21"/>
      <c r="I88" s="21"/>
      <c r="J88" s="21"/>
      <c r="K88" s="21"/>
      <c r="L88" s="21"/>
      <c r="M88" s="21"/>
      <c r="N88" s="21"/>
      <c r="O88" s="21">
        <f t="shared" si="3"/>
        <v>1001.3</v>
      </c>
    </row>
    <row r="89" spans="1:15" s="16" customFormat="1" ht="63" x14ac:dyDescent="0.25">
      <c r="A89" s="19" t="s">
        <v>250</v>
      </c>
      <c r="B89" s="19" t="s">
        <v>249</v>
      </c>
      <c r="C89" s="19" t="s">
        <v>44</v>
      </c>
      <c r="D89" s="12" t="s">
        <v>308</v>
      </c>
      <c r="E89" s="20">
        <f>5348.1+57.3</f>
        <v>5405.4000000000005</v>
      </c>
      <c r="F89" s="20">
        <f>4242.5+943.2</f>
        <v>5185.7</v>
      </c>
      <c r="G89" s="20">
        <v>52.4</v>
      </c>
      <c r="H89" s="20">
        <f>I89+L89</f>
        <v>14</v>
      </c>
      <c r="I89" s="20"/>
      <c r="J89" s="20"/>
      <c r="K89" s="20"/>
      <c r="L89" s="20">
        <v>14</v>
      </c>
      <c r="M89" s="20"/>
      <c r="N89" s="20"/>
      <c r="O89" s="20">
        <f t="shared" si="3"/>
        <v>5419.4000000000005</v>
      </c>
    </row>
    <row r="90" spans="1:15" s="99" customFormat="1" ht="47.25" x14ac:dyDescent="0.25">
      <c r="A90" s="19" t="s">
        <v>148</v>
      </c>
      <c r="B90" s="19" t="s">
        <v>147</v>
      </c>
      <c r="C90" s="19" t="s">
        <v>54</v>
      </c>
      <c r="D90" s="12" t="s">
        <v>149</v>
      </c>
      <c r="E90" s="28">
        <f>1630.3+1417.9+24.5</f>
        <v>3072.7</v>
      </c>
      <c r="F90" s="28">
        <f>1172.5+262.9</f>
        <v>1435.4</v>
      </c>
      <c r="G90" s="28">
        <v>109.3</v>
      </c>
      <c r="H90" s="21"/>
      <c r="I90" s="20"/>
      <c r="J90" s="20"/>
      <c r="K90" s="20"/>
      <c r="L90" s="20"/>
      <c r="M90" s="20"/>
      <c r="N90" s="20"/>
      <c r="O90" s="20">
        <f t="shared" si="3"/>
        <v>3072.7</v>
      </c>
    </row>
    <row r="91" spans="1:15" s="16" customFormat="1" ht="94.5" x14ac:dyDescent="0.25">
      <c r="A91" s="19" t="s">
        <v>309</v>
      </c>
      <c r="B91" s="19" t="s">
        <v>310</v>
      </c>
      <c r="C91" s="19" t="s">
        <v>42</v>
      </c>
      <c r="D91" s="12" t="s">
        <v>311</v>
      </c>
      <c r="E91" s="28">
        <v>520</v>
      </c>
      <c r="F91" s="28"/>
      <c r="G91" s="28"/>
      <c r="H91" s="20"/>
      <c r="I91" s="20"/>
      <c r="J91" s="20"/>
      <c r="K91" s="20"/>
      <c r="L91" s="20"/>
      <c r="M91" s="20"/>
      <c r="N91" s="20"/>
      <c r="O91" s="20">
        <v>520</v>
      </c>
    </row>
    <row r="92" spans="1:15" s="16" customFormat="1" ht="94.5" x14ac:dyDescent="0.25">
      <c r="A92" s="19" t="s">
        <v>312</v>
      </c>
      <c r="B92" s="19" t="s">
        <v>313</v>
      </c>
      <c r="C92" s="19" t="s">
        <v>68</v>
      </c>
      <c r="D92" s="12" t="s">
        <v>314</v>
      </c>
      <c r="E92" s="20">
        <v>850</v>
      </c>
      <c r="F92" s="20"/>
      <c r="G92" s="20"/>
      <c r="H92" s="20"/>
      <c r="I92" s="20"/>
      <c r="J92" s="20"/>
      <c r="K92" s="20"/>
      <c r="L92" s="20"/>
      <c r="M92" s="20"/>
      <c r="N92" s="20"/>
      <c r="O92" s="20">
        <f t="shared" si="3"/>
        <v>850</v>
      </c>
    </row>
    <row r="93" spans="1:15" s="16" customFormat="1" ht="47.25" x14ac:dyDescent="0.25">
      <c r="A93" s="19" t="s">
        <v>315</v>
      </c>
      <c r="B93" s="19" t="s">
        <v>316</v>
      </c>
      <c r="C93" s="19" t="s">
        <v>47</v>
      </c>
      <c r="D93" s="12" t="s">
        <v>317</v>
      </c>
      <c r="E93" s="20">
        <f>50</f>
        <v>50</v>
      </c>
      <c r="F93" s="20"/>
      <c r="G93" s="20"/>
      <c r="H93" s="20"/>
      <c r="I93" s="20"/>
      <c r="J93" s="20"/>
      <c r="K93" s="20"/>
      <c r="L93" s="20"/>
      <c r="M93" s="20"/>
      <c r="N93" s="20"/>
      <c r="O93" s="20">
        <f t="shared" si="3"/>
        <v>50</v>
      </c>
    </row>
    <row r="94" spans="1:15" s="16" customFormat="1" ht="31.5" x14ac:dyDescent="0.25">
      <c r="A94" s="19" t="s">
        <v>322</v>
      </c>
      <c r="B94" s="19" t="s">
        <v>318</v>
      </c>
      <c r="C94" s="19" t="s">
        <v>33</v>
      </c>
      <c r="D94" s="12" t="s">
        <v>319</v>
      </c>
      <c r="E94" s="20">
        <f>9496.4+5000</f>
        <v>14496.4</v>
      </c>
      <c r="F94" s="20"/>
      <c r="G94" s="20"/>
      <c r="H94" s="20"/>
      <c r="I94" s="20"/>
      <c r="J94" s="20"/>
      <c r="K94" s="20"/>
      <c r="L94" s="20"/>
      <c r="M94" s="20"/>
      <c r="N94" s="20"/>
      <c r="O94" s="20">
        <f>E94+H94</f>
        <v>14496.4</v>
      </c>
    </row>
    <row r="95" spans="1:15" s="16" customFormat="1" ht="31.5" x14ac:dyDescent="0.25">
      <c r="A95" s="25" t="s">
        <v>153</v>
      </c>
      <c r="B95" s="19"/>
      <c r="C95" s="19"/>
      <c r="D95" s="26" t="s">
        <v>21</v>
      </c>
      <c r="E95" s="21">
        <f>E96</f>
        <v>1205.5</v>
      </c>
      <c r="F95" s="21">
        <f>F96</f>
        <v>980</v>
      </c>
      <c r="G95" s="20"/>
      <c r="H95" s="21">
        <f>H96</f>
        <v>20</v>
      </c>
      <c r="I95" s="21">
        <f t="shared" ref="I95:N95" si="14">I96</f>
        <v>0</v>
      </c>
      <c r="J95" s="21">
        <f t="shared" si="14"/>
        <v>0</v>
      </c>
      <c r="K95" s="21">
        <f t="shared" si="14"/>
        <v>0</v>
      </c>
      <c r="L95" s="21">
        <f t="shared" si="14"/>
        <v>20</v>
      </c>
      <c r="M95" s="21">
        <f t="shared" si="14"/>
        <v>20</v>
      </c>
      <c r="N95" s="21">
        <f t="shared" si="14"/>
        <v>20</v>
      </c>
      <c r="O95" s="21">
        <f>O96</f>
        <v>1225.5</v>
      </c>
    </row>
    <row r="96" spans="1:15" s="16" customFormat="1" ht="31.5" x14ac:dyDescent="0.25">
      <c r="A96" s="25" t="s">
        <v>154</v>
      </c>
      <c r="B96" s="19"/>
      <c r="C96" s="19"/>
      <c r="D96" s="26" t="s">
        <v>21</v>
      </c>
      <c r="E96" s="21">
        <f>E97+E98+E99</f>
        <v>1205.5</v>
      </c>
      <c r="F96" s="21">
        <f>F97+F98+F99</f>
        <v>980</v>
      </c>
      <c r="G96" s="21"/>
      <c r="H96" s="21">
        <f>I96+L96</f>
        <v>20</v>
      </c>
      <c r="I96" s="21">
        <f t="shared" ref="I96:N96" si="15">I97+I98+I99</f>
        <v>0</v>
      </c>
      <c r="J96" s="21">
        <f t="shared" si="15"/>
        <v>0</v>
      </c>
      <c r="K96" s="21">
        <f t="shared" si="15"/>
        <v>0</v>
      </c>
      <c r="L96" s="21">
        <f t="shared" si="15"/>
        <v>20</v>
      </c>
      <c r="M96" s="21">
        <f t="shared" si="15"/>
        <v>20</v>
      </c>
      <c r="N96" s="21">
        <f t="shared" si="15"/>
        <v>20</v>
      </c>
      <c r="O96" s="21">
        <f t="shared" ref="O96:O118" si="16">E96+H96</f>
        <v>1225.5</v>
      </c>
    </row>
    <row r="97" spans="1:15" s="16" customFormat="1" ht="47.25" x14ac:dyDescent="0.25">
      <c r="A97" s="19" t="s">
        <v>155</v>
      </c>
      <c r="B97" s="19" t="s">
        <v>124</v>
      </c>
      <c r="C97" s="19" t="s">
        <v>32</v>
      </c>
      <c r="D97" s="18" t="s">
        <v>126</v>
      </c>
      <c r="E97" s="20">
        <v>1001.9</v>
      </c>
      <c r="F97" s="20">
        <f>803+177</f>
        <v>980</v>
      </c>
      <c r="G97" s="20"/>
      <c r="H97" s="20">
        <f>I97+L97</f>
        <v>20</v>
      </c>
      <c r="I97" s="20"/>
      <c r="J97" s="20"/>
      <c r="K97" s="20"/>
      <c r="L97" s="20">
        <v>20</v>
      </c>
      <c r="M97" s="20">
        <v>20</v>
      </c>
      <c r="N97" s="20">
        <v>20</v>
      </c>
      <c r="O97" s="20">
        <f t="shared" si="16"/>
        <v>1021.9</v>
      </c>
    </row>
    <row r="98" spans="1:15" s="99" customFormat="1" ht="31.5" x14ac:dyDescent="0.25">
      <c r="A98" s="19" t="s">
        <v>156</v>
      </c>
      <c r="B98" s="19" t="s">
        <v>93</v>
      </c>
      <c r="C98" s="19" t="s">
        <v>54</v>
      </c>
      <c r="D98" s="12" t="s">
        <v>103</v>
      </c>
      <c r="E98" s="20">
        <v>33.6</v>
      </c>
      <c r="F98" s="20"/>
      <c r="G98" s="20"/>
      <c r="H98" s="20"/>
      <c r="I98" s="20"/>
      <c r="J98" s="20"/>
      <c r="K98" s="20"/>
      <c r="L98" s="20"/>
      <c r="M98" s="20"/>
      <c r="N98" s="20"/>
      <c r="O98" s="20">
        <f t="shared" si="16"/>
        <v>33.6</v>
      </c>
    </row>
    <row r="99" spans="1:15" s="16" customFormat="1" ht="78.75" x14ac:dyDescent="0.25">
      <c r="A99" s="19" t="s">
        <v>157</v>
      </c>
      <c r="B99" s="19" t="s">
        <v>61</v>
      </c>
      <c r="C99" s="19" t="s">
        <v>54</v>
      </c>
      <c r="D99" s="11" t="s">
        <v>55</v>
      </c>
      <c r="E99" s="20">
        <v>170</v>
      </c>
      <c r="F99" s="20"/>
      <c r="G99" s="20"/>
      <c r="H99" s="20"/>
      <c r="I99" s="20"/>
      <c r="J99" s="20"/>
      <c r="K99" s="20"/>
      <c r="L99" s="20"/>
      <c r="M99" s="20"/>
      <c r="N99" s="20"/>
      <c r="O99" s="20">
        <f t="shared" si="16"/>
        <v>170</v>
      </c>
    </row>
    <row r="100" spans="1:15" s="95" customFormat="1" ht="31.5" x14ac:dyDescent="0.25">
      <c r="A100" s="25" t="s">
        <v>158</v>
      </c>
      <c r="B100" s="25"/>
      <c r="C100" s="25"/>
      <c r="D100" s="26" t="s">
        <v>15</v>
      </c>
      <c r="E100" s="21">
        <f>E101</f>
        <v>26401.219999999998</v>
      </c>
      <c r="F100" s="21">
        <f t="shared" ref="F100:O100" si="17">F101</f>
        <v>21873.899999999998</v>
      </c>
      <c r="G100" s="21">
        <f t="shared" si="17"/>
        <v>1699.2</v>
      </c>
      <c r="H100" s="21">
        <f>H101</f>
        <v>4498</v>
      </c>
      <c r="I100" s="21">
        <f t="shared" si="17"/>
        <v>805</v>
      </c>
      <c r="J100" s="21">
        <f t="shared" si="17"/>
        <v>233.8</v>
      </c>
      <c r="K100" s="21">
        <f t="shared" si="17"/>
        <v>0</v>
      </c>
      <c r="L100" s="21">
        <f t="shared" si="17"/>
        <v>3693</v>
      </c>
      <c r="M100" s="21">
        <f t="shared" si="17"/>
        <v>3643</v>
      </c>
      <c r="N100" s="21">
        <f t="shared" si="17"/>
        <v>3643</v>
      </c>
      <c r="O100" s="21">
        <f t="shared" si="17"/>
        <v>30899.219999999998</v>
      </c>
    </row>
    <row r="101" spans="1:15" s="16" customFormat="1" ht="31.5" x14ac:dyDescent="0.25">
      <c r="A101" s="19" t="s">
        <v>159</v>
      </c>
      <c r="B101" s="19"/>
      <c r="C101" s="19"/>
      <c r="D101" s="26" t="s">
        <v>15</v>
      </c>
      <c r="E101" s="21">
        <f>E102+E104+E105+E106+E103+E107+E108</f>
        <v>26401.219999999998</v>
      </c>
      <c r="F101" s="21">
        <f t="shared" ref="F101:N101" si="18">F102+F104+F105+F106+F103+F107+F108</f>
        <v>21873.899999999998</v>
      </c>
      <c r="G101" s="21">
        <f t="shared" si="18"/>
        <v>1699.2</v>
      </c>
      <c r="H101" s="21">
        <f>I101+L101</f>
        <v>4498</v>
      </c>
      <c r="I101" s="21">
        <f t="shared" si="18"/>
        <v>805</v>
      </c>
      <c r="J101" s="21">
        <f t="shared" si="18"/>
        <v>233.8</v>
      </c>
      <c r="K101" s="21">
        <f t="shared" si="18"/>
        <v>0</v>
      </c>
      <c r="L101" s="21">
        <f t="shared" si="18"/>
        <v>3693</v>
      </c>
      <c r="M101" s="21">
        <f t="shared" si="18"/>
        <v>3643</v>
      </c>
      <c r="N101" s="21">
        <f t="shared" si="18"/>
        <v>3643</v>
      </c>
      <c r="O101" s="21">
        <f t="shared" si="16"/>
        <v>30899.219999999998</v>
      </c>
    </row>
    <row r="102" spans="1:15" s="16" customFormat="1" ht="47.25" x14ac:dyDescent="0.25">
      <c r="A102" s="19" t="s">
        <v>160</v>
      </c>
      <c r="B102" s="19" t="s">
        <v>124</v>
      </c>
      <c r="C102" s="19" t="s">
        <v>32</v>
      </c>
      <c r="D102" s="18" t="s">
        <v>126</v>
      </c>
      <c r="E102" s="20">
        <v>468</v>
      </c>
      <c r="F102" s="20">
        <f>377+83</f>
        <v>460</v>
      </c>
      <c r="G102" s="20"/>
      <c r="H102" s="21"/>
      <c r="I102" s="20"/>
      <c r="J102" s="20"/>
      <c r="K102" s="20"/>
      <c r="L102" s="20"/>
      <c r="M102" s="20"/>
      <c r="N102" s="20"/>
      <c r="O102" s="20">
        <f t="shared" si="16"/>
        <v>468</v>
      </c>
    </row>
    <row r="103" spans="1:15" s="16" customFormat="1" ht="63" x14ac:dyDescent="0.25">
      <c r="A103" s="19" t="s">
        <v>170</v>
      </c>
      <c r="B103" s="19" t="s">
        <v>169</v>
      </c>
      <c r="C103" s="19" t="s">
        <v>50</v>
      </c>
      <c r="D103" s="18" t="s">
        <v>171</v>
      </c>
      <c r="E103" s="20">
        <v>11629</v>
      </c>
      <c r="F103" s="20">
        <f>9288.6+2043.5</f>
        <v>11332.1</v>
      </c>
      <c r="G103" s="20">
        <v>282.5</v>
      </c>
      <c r="H103" s="20">
        <f>I103+L103</f>
        <v>749</v>
      </c>
      <c r="I103" s="20">
        <f>629-50</f>
        <v>579</v>
      </c>
      <c r="J103" s="20">
        <f>159.8+35</f>
        <v>194.8</v>
      </c>
      <c r="K103" s="20"/>
      <c r="L103" s="20">
        <f>170</f>
        <v>170</v>
      </c>
      <c r="M103" s="20">
        <f>120</f>
        <v>120</v>
      </c>
      <c r="N103" s="20">
        <f>120</f>
        <v>120</v>
      </c>
      <c r="O103" s="20">
        <f t="shared" si="16"/>
        <v>12378</v>
      </c>
    </row>
    <row r="104" spans="1:15" s="16" customFormat="1" ht="15.75" x14ac:dyDescent="0.25">
      <c r="A104" s="19" t="s">
        <v>162</v>
      </c>
      <c r="B104" s="19" t="s">
        <v>161</v>
      </c>
      <c r="C104" s="19" t="s">
        <v>95</v>
      </c>
      <c r="D104" s="12" t="s">
        <v>163</v>
      </c>
      <c r="E104" s="28">
        <f>4974.3+50</f>
        <v>5024.3</v>
      </c>
      <c r="F104" s="28">
        <f>3074.3+676.3</f>
        <v>3750.6000000000004</v>
      </c>
      <c r="G104" s="28">
        <v>558.29999999999995</v>
      </c>
      <c r="H104" s="20">
        <f>I104+L104</f>
        <v>754.5</v>
      </c>
      <c r="I104" s="28">
        <v>54.5</v>
      </c>
      <c r="J104" s="28"/>
      <c r="K104" s="28"/>
      <c r="L104" s="28">
        <f>85+15+600</f>
        <v>700</v>
      </c>
      <c r="M104" s="28">
        <f>100+600</f>
        <v>700</v>
      </c>
      <c r="N104" s="28">
        <f>100+600</f>
        <v>700</v>
      </c>
      <c r="O104" s="28">
        <f t="shared" si="16"/>
        <v>5778.8</v>
      </c>
    </row>
    <row r="105" spans="1:15" s="16" customFormat="1" ht="15.75" x14ac:dyDescent="0.25">
      <c r="A105" s="19" t="s">
        <v>165</v>
      </c>
      <c r="B105" s="19" t="s">
        <v>164</v>
      </c>
      <c r="C105" s="19" t="s">
        <v>95</v>
      </c>
      <c r="D105" s="12" t="s">
        <v>166</v>
      </c>
      <c r="E105" s="28">
        <f>1542.4+28.72</f>
        <v>1571.1200000000001</v>
      </c>
      <c r="F105" s="28">
        <f>978+215.2</f>
        <v>1193.2</v>
      </c>
      <c r="G105" s="28">
        <v>232.2</v>
      </c>
      <c r="H105" s="20">
        <f>I105+L105</f>
        <v>121.5</v>
      </c>
      <c r="I105" s="28">
        <v>31.5</v>
      </c>
      <c r="J105" s="28"/>
      <c r="K105" s="28"/>
      <c r="L105" s="28">
        <f>90</f>
        <v>90</v>
      </c>
      <c r="M105" s="28">
        <f>90</f>
        <v>90</v>
      </c>
      <c r="N105" s="28">
        <f>90</f>
        <v>90</v>
      </c>
      <c r="O105" s="28">
        <f t="shared" si="16"/>
        <v>1692.6200000000001</v>
      </c>
    </row>
    <row r="106" spans="1:15" s="16" customFormat="1" ht="47.25" x14ac:dyDescent="0.25">
      <c r="A106" s="19" t="s">
        <v>167</v>
      </c>
      <c r="B106" s="19" t="s">
        <v>94</v>
      </c>
      <c r="C106" s="19" t="s">
        <v>96</v>
      </c>
      <c r="D106" s="12" t="s">
        <v>168</v>
      </c>
      <c r="E106" s="28">
        <f>5500.7+120</f>
        <v>5620.7</v>
      </c>
      <c r="F106" s="28">
        <f>3548.9+780.8</f>
        <v>4329.7</v>
      </c>
      <c r="G106" s="28">
        <v>600</v>
      </c>
      <c r="H106" s="20">
        <f>I106+L106</f>
        <v>2843</v>
      </c>
      <c r="I106" s="28">
        <f>105+12.6+16+6.4</f>
        <v>140</v>
      </c>
      <c r="J106" s="28">
        <f>32+7</f>
        <v>39</v>
      </c>
      <c r="K106" s="28"/>
      <c r="L106" s="28">
        <f>1000+15+40+10+10+120+8+1000+200+300</f>
        <v>2703</v>
      </c>
      <c r="M106" s="28">
        <f>2403+300</f>
        <v>2703</v>
      </c>
      <c r="N106" s="28">
        <f>2403+300</f>
        <v>2703</v>
      </c>
      <c r="O106" s="28">
        <f t="shared" si="16"/>
        <v>8463.7000000000007</v>
      </c>
    </row>
    <row r="107" spans="1:15" s="16" customFormat="1" ht="31.5" x14ac:dyDescent="0.25">
      <c r="A107" s="19" t="s">
        <v>323</v>
      </c>
      <c r="B107" s="19" t="s">
        <v>288</v>
      </c>
      <c r="C107" s="19" t="s">
        <v>97</v>
      </c>
      <c r="D107" s="12" t="s">
        <v>289</v>
      </c>
      <c r="E107" s="28">
        <v>882.1</v>
      </c>
      <c r="F107" s="28">
        <v>808.3</v>
      </c>
      <c r="G107" s="28">
        <v>26.2</v>
      </c>
      <c r="H107" s="20">
        <f>I107+L107</f>
        <v>30</v>
      </c>
      <c r="I107" s="28"/>
      <c r="J107" s="28"/>
      <c r="K107" s="28"/>
      <c r="L107" s="28">
        <v>30</v>
      </c>
      <c r="M107" s="28">
        <v>30</v>
      </c>
      <c r="N107" s="28">
        <v>30</v>
      </c>
      <c r="O107" s="28">
        <f t="shared" si="16"/>
        <v>912.1</v>
      </c>
    </row>
    <row r="108" spans="1:15" s="16" customFormat="1" ht="15.75" x14ac:dyDescent="0.25">
      <c r="A108" s="19" t="s">
        <v>286</v>
      </c>
      <c r="B108" s="19" t="s">
        <v>287</v>
      </c>
      <c r="C108" s="19" t="s">
        <v>97</v>
      </c>
      <c r="D108" s="12" t="s">
        <v>290</v>
      </c>
      <c r="E108" s="28">
        <f>1121+85</f>
        <v>1206</v>
      </c>
      <c r="F108" s="28"/>
      <c r="G108" s="28"/>
      <c r="H108" s="20"/>
      <c r="I108" s="28"/>
      <c r="J108" s="28"/>
      <c r="K108" s="28"/>
      <c r="L108" s="28"/>
      <c r="M108" s="28"/>
      <c r="N108" s="28"/>
      <c r="O108" s="28">
        <f t="shared" si="16"/>
        <v>1206</v>
      </c>
    </row>
    <row r="109" spans="1:15" s="16" customFormat="1" ht="47.25" x14ac:dyDescent="0.25">
      <c r="A109" s="25" t="s">
        <v>59</v>
      </c>
      <c r="B109" s="25"/>
      <c r="C109" s="25"/>
      <c r="D109" s="26" t="s">
        <v>18</v>
      </c>
      <c r="E109" s="100">
        <f>E110</f>
        <v>3368.9199999999996</v>
      </c>
      <c r="F109" s="100">
        <f>F110</f>
        <v>1026</v>
      </c>
      <c r="G109" s="100">
        <f>G110</f>
        <v>0</v>
      </c>
      <c r="H109" s="100">
        <f>H110</f>
        <v>10</v>
      </c>
      <c r="I109" s="100">
        <f t="shared" ref="I109:N109" si="19">I110</f>
        <v>0</v>
      </c>
      <c r="J109" s="100">
        <f t="shared" si="19"/>
        <v>0</v>
      </c>
      <c r="K109" s="100">
        <f t="shared" si="19"/>
        <v>0</v>
      </c>
      <c r="L109" s="100">
        <f t="shared" si="19"/>
        <v>10</v>
      </c>
      <c r="M109" s="100">
        <f t="shared" si="19"/>
        <v>10</v>
      </c>
      <c r="N109" s="100">
        <f t="shared" si="19"/>
        <v>10</v>
      </c>
      <c r="O109" s="21">
        <f t="shared" si="16"/>
        <v>3378.9199999999996</v>
      </c>
    </row>
    <row r="110" spans="1:15" s="16" customFormat="1" ht="47.25" x14ac:dyDescent="0.25">
      <c r="A110" s="25" t="s">
        <v>60</v>
      </c>
      <c r="B110" s="25"/>
      <c r="C110" s="25"/>
      <c r="D110" s="26" t="s">
        <v>18</v>
      </c>
      <c r="E110" s="21">
        <f>E111+E113+E114+E115+E116+E117+E112</f>
        <v>3368.9199999999996</v>
      </c>
      <c r="F110" s="21">
        <f t="shared" ref="F110:N110" si="20">F111+F113+F114+F115+F116+F117+F112</f>
        <v>1026</v>
      </c>
      <c r="G110" s="21">
        <f t="shared" si="20"/>
        <v>0</v>
      </c>
      <c r="H110" s="21">
        <f>I110+L110</f>
        <v>10</v>
      </c>
      <c r="I110" s="21">
        <f t="shared" si="20"/>
        <v>0</v>
      </c>
      <c r="J110" s="21">
        <f t="shared" si="20"/>
        <v>0</v>
      </c>
      <c r="K110" s="21">
        <f t="shared" si="20"/>
        <v>0</v>
      </c>
      <c r="L110" s="21">
        <f t="shared" si="20"/>
        <v>10</v>
      </c>
      <c r="M110" s="21">
        <f t="shared" si="20"/>
        <v>10</v>
      </c>
      <c r="N110" s="21">
        <f t="shared" si="20"/>
        <v>10</v>
      </c>
      <c r="O110" s="21">
        <f t="shared" si="16"/>
        <v>3378.9199999999996</v>
      </c>
    </row>
    <row r="111" spans="1:15" s="16" customFormat="1" ht="47.25" x14ac:dyDescent="0.25">
      <c r="A111" s="19" t="s">
        <v>172</v>
      </c>
      <c r="B111" s="19" t="s">
        <v>124</v>
      </c>
      <c r="C111" s="19" t="s">
        <v>32</v>
      </c>
      <c r="D111" s="18" t="s">
        <v>126</v>
      </c>
      <c r="E111" s="20">
        <f>1060.3+198.72</f>
        <v>1259.02</v>
      </c>
      <c r="F111" s="20">
        <f>841+185</f>
        <v>1026</v>
      </c>
      <c r="G111" s="20"/>
      <c r="H111" s="28">
        <f>I111+L111</f>
        <v>10</v>
      </c>
      <c r="I111" s="21"/>
      <c r="J111" s="21"/>
      <c r="K111" s="21"/>
      <c r="L111" s="20">
        <v>10</v>
      </c>
      <c r="M111" s="20">
        <v>10</v>
      </c>
      <c r="N111" s="20">
        <v>10</v>
      </c>
      <c r="O111" s="21">
        <f t="shared" si="16"/>
        <v>1269.02</v>
      </c>
    </row>
    <row r="112" spans="1:15" s="16" customFormat="1" ht="15.75" x14ac:dyDescent="0.25">
      <c r="A112" s="19" t="s">
        <v>174</v>
      </c>
      <c r="B112" s="19" t="s">
        <v>173</v>
      </c>
      <c r="C112" s="19" t="s">
        <v>54</v>
      </c>
      <c r="D112" s="12" t="s">
        <v>63</v>
      </c>
      <c r="E112" s="20">
        <v>271.10000000000002</v>
      </c>
      <c r="F112" s="20"/>
      <c r="G112" s="20"/>
      <c r="H112" s="28"/>
      <c r="I112" s="21"/>
      <c r="J112" s="21"/>
      <c r="K112" s="21"/>
      <c r="L112" s="20"/>
      <c r="M112" s="20"/>
      <c r="N112" s="20"/>
      <c r="O112" s="21"/>
    </row>
    <row r="113" spans="1:15" s="16" customFormat="1" ht="15.75" x14ac:dyDescent="0.25">
      <c r="A113" s="19" t="s">
        <v>176</v>
      </c>
      <c r="B113" s="19" t="s">
        <v>175</v>
      </c>
      <c r="C113" s="19" t="s">
        <v>54</v>
      </c>
      <c r="D113" s="12" t="s">
        <v>111</v>
      </c>
      <c r="E113" s="20">
        <v>591.5</v>
      </c>
      <c r="F113" s="20"/>
      <c r="G113" s="20"/>
      <c r="H113" s="20"/>
      <c r="I113" s="20"/>
      <c r="J113" s="20"/>
      <c r="K113" s="20"/>
      <c r="L113" s="20"/>
      <c r="M113" s="20"/>
      <c r="N113" s="20"/>
      <c r="O113" s="21">
        <f t="shared" si="16"/>
        <v>591.5</v>
      </c>
    </row>
    <row r="114" spans="1:15" s="16" customFormat="1" ht="78.75" x14ac:dyDescent="0.25">
      <c r="A114" s="19" t="s">
        <v>62</v>
      </c>
      <c r="B114" s="19" t="s">
        <v>61</v>
      </c>
      <c r="C114" s="19" t="s">
        <v>54</v>
      </c>
      <c r="D114" s="11" t="s">
        <v>55</v>
      </c>
      <c r="E114" s="20">
        <v>217.5</v>
      </c>
      <c r="F114" s="20"/>
      <c r="G114" s="20"/>
      <c r="H114" s="20"/>
      <c r="I114" s="20"/>
      <c r="J114" s="20"/>
      <c r="K114" s="20"/>
      <c r="L114" s="20"/>
      <c r="M114" s="20"/>
      <c r="N114" s="20"/>
      <c r="O114" s="21">
        <f t="shared" si="16"/>
        <v>217.5</v>
      </c>
    </row>
    <row r="115" spans="1:15" s="16" customFormat="1" ht="31.5" x14ac:dyDescent="0.25">
      <c r="A115" s="19" t="s">
        <v>65</v>
      </c>
      <c r="B115" s="19" t="s">
        <v>64</v>
      </c>
      <c r="C115" s="19" t="s">
        <v>56</v>
      </c>
      <c r="D115" s="12" t="s">
        <v>102</v>
      </c>
      <c r="E115" s="20">
        <v>300</v>
      </c>
      <c r="F115" s="20"/>
      <c r="G115" s="20"/>
      <c r="H115" s="20"/>
      <c r="I115" s="20"/>
      <c r="J115" s="20"/>
      <c r="K115" s="20"/>
      <c r="L115" s="20"/>
      <c r="M115" s="20"/>
      <c r="N115" s="20"/>
      <c r="O115" s="21">
        <f t="shared" si="16"/>
        <v>300</v>
      </c>
    </row>
    <row r="116" spans="1:15" s="16" customFormat="1" ht="31.5" x14ac:dyDescent="0.25">
      <c r="A116" s="19" t="s">
        <v>104</v>
      </c>
      <c r="B116" s="19" t="s">
        <v>105</v>
      </c>
      <c r="C116" s="19" t="s">
        <v>56</v>
      </c>
      <c r="D116" s="12" t="s">
        <v>106</v>
      </c>
      <c r="E116" s="20">
        <v>200</v>
      </c>
      <c r="F116" s="20"/>
      <c r="G116" s="20"/>
      <c r="H116" s="20"/>
      <c r="I116" s="20"/>
      <c r="J116" s="20"/>
      <c r="K116" s="20"/>
      <c r="L116" s="20"/>
      <c r="M116" s="20"/>
      <c r="N116" s="20"/>
      <c r="O116" s="21">
        <f t="shared" si="16"/>
        <v>200</v>
      </c>
    </row>
    <row r="117" spans="1:15" s="16" customFormat="1" ht="63" x14ac:dyDescent="0.25">
      <c r="A117" s="19" t="s">
        <v>112</v>
      </c>
      <c r="B117" s="19" t="s">
        <v>113</v>
      </c>
      <c r="C117" s="19" t="s">
        <v>56</v>
      </c>
      <c r="D117" s="18" t="s">
        <v>114</v>
      </c>
      <c r="E117" s="20">
        <v>529.79999999999995</v>
      </c>
      <c r="F117" s="20"/>
      <c r="G117" s="20"/>
      <c r="H117" s="20"/>
      <c r="I117" s="20"/>
      <c r="J117" s="20"/>
      <c r="K117" s="20"/>
      <c r="L117" s="20"/>
      <c r="M117" s="20"/>
      <c r="N117" s="20"/>
      <c r="O117" s="21">
        <f t="shared" si="16"/>
        <v>529.79999999999995</v>
      </c>
    </row>
    <row r="118" spans="1:15" s="95" customFormat="1" ht="47.25" x14ac:dyDescent="0.25">
      <c r="A118" s="25" t="s">
        <v>177</v>
      </c>
      <c r="B118" s="25"/>
      <c r="C118" s="25"/>
      <c r="D118" s="26" t="s">
        <v>22</v>
      </c>
      <c r="E118" s="100">
        <f>E119</f>
        <v>58557.400000000009</v>
      </c>
      <c r="F118" s="100">
        <f t="shared" ref="F118:N118" si="21">F119</f>
        <v>1382</v>
      </c>
      <c r="G118" s="100">
        <f t="shared" si="21"/>
        <v>0</v>
      </c>
      <c r="H118" s="100">
        <f t="shared" si="21"/>
        <v>67373.198000000004</v>
      </c>
      <c r="I118" s="100">
        <f t="shared" si="21"/>
        <v>99.3</v>
      </c>
      <c r="J118" s="100">
        <f t="shared" si="21"/>
        <v>0</v>
      </c>
      <c r="K118" s="100">
        <f t="shared" si="21"/>
        <v>0</v>
      </c>
      <c r="L118" s="100">
        <f t="shared" si="21"/>
        <v>67273.898000000001</v>
      </c>
      <c r="M118" s="100">
        <f t="shared" si="21"/>
        <v>67273.898000000001</v>
      </c>
      <c r="N118" s="100">
        <f t="shared" si="21"/>
        <v>61273.898000000001</v>
      </c>
      <c r="O118" s="100">
        <f t="shared" si="16"/>
        <v>125930.59800000001</v>
      </c>
    </row>
    <row r="119" spans="1:15" s="16" customFormat="1" ht="47.25" x14ac:dyDescent="0.25">
      <c r="A119" s="25" t="s">
        <v>178</v>
      </c>
      <c r="B119" s="19"/>
      <c r="C119" s="19"/>
      <c r="D119" s="26" t="s">
        <v>22</v>
      </c>
      <c r="E119" s="21">
        <f>E120+E121+E122+E123+E124+E125+E126+E127+E128+E129+E130+E131+E132+E133+E134</f>
        <v>58557.400000000009</v>
      </c>
      <c r="F119" s="21">
        <f t="shared" ref="F119:N119" si="22">F120+F121+F122+F123+F124+F125+F126+F127+F128+F129+F130+F131+F132+F133+F134</f>
        <v>1382</v>
      </c>
      <c r="G119" s="21">
        <f t="shared" si="22"/>
        <v>0</v>
      </c>
      <c r="H119" s="21">
        <f t="shared" si="22"/>
        <v>67373.198000000004</v>
      </c>
      <c r="I119" s="21">
        <f t="shared" si="22"/>
        <v>99.3</v>
      </c>
      <c r="J119" s="21">
        <f t="shared" si="22"/>
        <v>0</v>
      </c>
      <c r="K119" s="21">
        <f t="shared" si="22"/>
        <v>0</v>
      </c>
      <c r="L119" s="21">
        <f t="shared" si="22"/>
        <v>67273.898000000001</v>
      </c>
      <c r="M119" s="21">
        <f t="shared" si="22"/>
        <v>67273.898000000001</v>
      </c>
      <c r="N119" s="21">
        <f t="shared" si="22"/>
        <v>61273.898000000001</v>
      </c>
      <c r="O119" s="100">
        <f>E119+H119</f>
        <v>125930.59800000001</v>
      </c>
    </row>
    <row r="120" spans="1:15" s="16" customFormat="1" ht="47.25" x14ac:dyDescent="0.25">
      <c r="A120" s="19" t="s">
        <v>179</v>
      </c>
      <c r="B120" s="19" t="s">
        <v>124</v>
      </c>
      <c r="C120" s="19" t="s">
        <v>32</v>
      </c>
      <c r="D120" s="18" t="s">
        <v>126</v>
      </c>
      <c r="E120" s="20">
        <v>1513.9</v>
      </c>
      <c r="F120" s="20">
        <f>1133+249</f>
        <v>1382</v>
      </c>
      <c r="G120" s="20"/>
      <c r="H120" s="20">
        <f t="shared" ref="H120:H134" si="23">I120+L120</f>
        <v>10</v>
      </c>
      <c r="I120" s="20"/>
      <c r="J120" s="20"/>
      <c r="K120" s="20"/>
      <c r="L120" s="20">
        <v>10</v>
      </c>
      <c r="M120" s="20">
        <v>10</v>
      </c>
      <c r="N120" s="20">
        <v>10</v>
      </c>
      <c r="O120" s="20">
        <f>E120+H120</f>
        <v>1523.9</v>
      </c>
    </row>
    <row r="121" spans="1:15" s="16" customFormat="1" ht="15.75" x14ac:dyDescent="0.25">
      <c r="A121" s="19" t="s">
        <v>301</v>
      </c>
      <c r="B121" s="19" t="s">
        <v>300</v>
      </c>
      <c r="C121" s="19" t="s">
        <v>252</v>
      </c>
      <c r="D121" s="18" t="s">
        <v>253</v>
      </c>
      <c r="E121" s="20">
        <v>50</v>
      </c>
      <c r="F121" s="20"/>
      <c r="G121" s="20"/>
      <c r="H121" s="21"/>
      <c r="I121" s="20"/>
      <c r="J121" s="20"/>
      <c r="K121" s="20"/>
      <c r="L121" s="20"/>
      <c r="M121" s="20"/>
      <c r="N121" s="20"/>
      <c r="O121" s="20">
        <f>E121+H121</f>
        <v>50</v>
      </c>
    </row>
    <row r="122" spans="1:15" s="16" customFormat="1" ht="31.5" x14ac:dyDescent="0.25">
      <c r="A122" s="19" t="s">
        <v>201</v>
      </c>
      <c r="B122" s="19" t="s">
        <v>200</v>
      </c>
      <c r="C122" s="19" t="s">
        <v>40</v>
      </c>
      <c r="D122" s="12" t="s">
        <v>202</v>
      </c>
      <c r="E122" s="28">
        <v>200</v>
      </c>
      <c r="F122" s="20"/>
      <c r="G122" s="20"/>
      <c r="H122" s="20">
        <f t="shared" si="23"/>
        <v>16704</v>
      </c>
      <c r="I122" s="20"/>
      <c r="J122" s="20"/>
      <c r="K122" s="20"/>
      <c r="L122" s="20">
        <f>2000+9000+5704</f>
        <v>16704</v>
      </c>
      <c r="M122" s="20">
        <f>2000+9000+5704</f>
        <v>16704</v>
      </c>
      <c r="N122" s="20">
        <f>1000+9000+5704</f>
        <v>15704</v>
      </c>
      <c r="O122" s="20">
        <f>E122+H122</f>
        <v>16904</v>
      </c>
    </row>
    <row r="123" spans="1:15" s="16" customFormat="1" ht="31.5" x14ac:dyDescent="0.25">
      <c r="A123" s="19" t="s">
        <v>261</v>
      </c>
      <c r="B123" s="19" t="s">
        <v>260</v>
      </c>
      <c r="C123" s="19" t="s">
        <v>40</v>
      </c>
      <c r="D123" s="12" t="s">
        <v>262</v>
      </c>
      <c r="E123" s="28"/>
      <c r="F123" s="20"/>
      <c r="G123" s="20"/>
      <c r="H123" s="20">
        <f t="shared" si="23"/>
        <v>4000</v>
      </c>
      <c r="I123" s="20"/>
      <c r="J123" s="20"/>
      <c r="K123" s="20"/>
      <c r="L123" s="20">
        <v>4000</v>
      </c>
      <c r="M123" s="20">
        <v>4000</v>
      </c>
      <c r="N123" s="20">
        <v>4000</v>
      </c>
      <c r="O123" s="20">
        <f t="shared" ref="O123:O134" si="24">E123+H123</f>
        <v>4000</v>
      </c>
    </row>
    <row r="124" spans="1:15" s="16" customFormat="1" ht="31.5" x14ac:dyDescent="0.25">
      <c r="A124" s="19" t="s">
        <v>204</v>
      </c>
      <c r="B124" s="19" t="s">
        <v>203</v>
      </c>
      <c r="C124" s="19" t="s">
        <v>40</v>
      </c>
      <c r="D124" s="12" t="s">
        <v>205</v>
      </c>
      <c r="E124" s="28">
        <v>531.4</v>
      </c>
      <c r="F124" s="20"/>
      <c r="G124" s="20"/>
      <c r="H124" s="20">
        <f t="shared" si="23"/>
        <v>4363.3</v>
      </c>
      <c r="I124" s="20"/>
      <c r="J124" s="20"/>
      <c r="K124" s="20"/>
      <c r="L124" s="20">
        <f>4000+363.3</f>
        <v>4363.3</v>
      </c>
      <c r="M124" s="20">
        <f>4000+363.3</f>
        <v>4363.3</v>
      </c>
      <c r="N124" s="20">
        <f>363.3</f>
        <v>363.3</v>
      </c>
      <c r="O124" s="20">
        <f t="shared" si="24"/>
        <v>4894.7</v>
      </c>
    </row>
    <row r="125" spans="1:15" s="16" customFormat="1" ht="31.5" x14ac:dyDescent="0.25">
      <c r="A125" s="19" t="s">
        <v>255</v>
      </c>
      <c r="B125" s="19" t="s">
        <v>254</v>
      </c>
      <c r="C125" s="19" t="s">
        <v>40</v>
      </c>
      <c r="D125" s="12" t="s">
        <v>256</v>
      </c>
      <c r="E125" s="28">
        <v>500</v>
      </c>
      <c r="F125" s="20"/>
      <c r="G125" s="20"/>
      <c r="H125" s="20">
        <f t="shared" si="23"/>
        <v>8850</v>
      </c>
      <c r="I125" s="20"/>
      <c r="J125" s="20"/>
      <c r="K125" s="20"/>
      <c r="L125" s="20">
        <f>5000+3850</f>
        <v>8850</v>
      </c>
      <c r="M125" s="20">
        <f>5000+3850</f>
        <v>8850</v>
      </c>
      <c r="N125" s="20">
        <f>5000+3850</f>
        <v>8850</v>
      </c>
      <c r="O125" s="20">
        <f t="shared" si="24"/>
        <v>9350</v>
      </c>
    </row>
    <row r="126" spans="1:15" s="16" customFormat="1" ht="47.25" x14ac:dyDescent="0.25">
      <c r="A126" s="19" t="s">
        <v>332</v>
      </c>
      <c r="B126" s="19" t="s">
        <v>333</v>
      </c>
      <c r="C126" s="19" t="s">
        <v>40</v>
      </c>
      <c r="D126" s="12" t="s">
        <v>334</v>
      </c>
      <c r="E126" s="77"/>
      <c r="F126" s="24"/>
      <c r="G126" s="24"/>
      <c r="H126" s="24">
        <f t="shared" si="23"/>
        <v>81.093999999999994</v>
      </c>
      <c r="I126" s="24"/>
      <c r="J126" s="24"/>
      <c r="K126" s="24"/>
      <c r="L126" s="24">
        <v>81.093999999999994</v>
      </c>
      <c r="M126" s="24">
        <v>81.093999999999994</v>
      </c>
      <c r="N126" s="24">
        <v>81.093999999999994</v>
      </c>
      <c r="O126" s="24">
        <f t="shared" si="24"/>
        <v>81.093999999999994</v>
      </c>
    </row>
    <row r="127" spans="1:15" s="16" customFormat="1" ht="47.25" x14ac:dyDescent="0.25">
      <c r="A127" s="19" t="s">
        <v>335</v>
      </c>
      <c r="B127" s="19" t="s">
        <v>336</v>
      </c>
      <c r="C127" s="19" t="s">
        <v>40</v>
      </c>
      <c r="D127" s="12" t="s">
        <v>337</v>
      </c>
      <c r="E127" s="77">
        <v>200</v>
      </c>
      <c r="F127" s="24"/>
      <c r="G127" s="24"/>
      <c r="H127" s="24">
        <f t="shared" si="23"/>
        <v>1958</v>
      </c>
      <c r="I127" s="24"/>
      <c r="J127" s="24"/>
      <c r="K127" s="24"/>
      <c r="L127" s="24">
        <f>458+1500</f>
        <v>1958</v>
      </c>
      <c r="M127" s="24">
        <f>458+1500</f>
        <v>1958</v>
      </c>
      <c r="N127" s="24">
        <f>458+1500</f>
        <v>1958</v>
      </c>
      <c r="O127" s="24">
        <f t="shared" si="24"/>
        <v>2158</v>
      </c>
    </row>
    <row r="128" spans="1:15" s="16" customFormat="1" ht="15.75" x14ac:dyDescent="0.25">
      <c r="A128" s="19" t="s">
        <v>180</v>
      </c>
      <c r="B128" s="19" t="s">
        <v>99</v>
      </c>
      <c r="C128" s="19" t="s">
        <v>40</v>
      </c>
      <c r="D128" s="18" t="s">
        <v>121</v>
      </c>
      <c r="E128" s="20">
        <f>4529.7+2707.3+2385+340.8+1776+420+60+30+200+200+200+200+200+200+200+5129.6+1724.9+212+200+180+200+100+4938.9+5716.5+50+9+860+200+1000+300+6000-661.2+311.2+200</f>
        <v>40319.700000000004</v>
      </c>
      <c r="F128" s="20"/>
      <c r="G128" s="20"/>
      <c r="H128" s="20">
        <f t="shared" si="23"/>
        <v>6445.4040000000005</v>
      </c>
      <c r="I128" s="20"/>
      <c r="J128" s="20"/>
      <c r="K128" s="20"/>
      <c r="L128" s="20">
        <f>3610+1900+1000-500+435.404</f>
        <v>6445.4040000000005</v>
      </c>
      <c r="M128" s="20">
        <f>3610+1900+1000-500+435.404</f>
        <v>6445.4040000000005</v>
      </c>
      <c r="N128" s="20">
        <f>3610+1900+1000-500+435.404</f>
        <v>6445.4040000000005</v>
      </c>
      <c r="O128" s="20">
        <f t="shared" si="24"/>
        <v>46765.104000000007</v>
      </c>
    </row>
    <row r="129" spans="1:15" s="16" customFormat="1" ht="15.75" x14ac:dyDescent="0.25">
      <c r="A129" s="19" t="s">
        <v>380</v>
      </c>
      <c r="B129" s="19" t="s">
        <v>211</v>
      </c>
      <c r="C129" s="19" t="s">
        <v>115</v>
      </c>
      <c r="D129" s="18" t="s">
        <v>213</v>
      </c>
      <c r="E129" s="24"/>
      <c r="F129" s="24"/>
      <c r="G129" s="24"/>
      <c r="H129" s="24">
        <f t="shared" si="23"/>
        <v>200</v>
      </c>
      <c r="I129" s="24"/>
      <c r="J129" s="24"/>
      <c r="K129" s="24"/>
      <c r="L129" s="24">
        <v>200</v>
      </c>
      <c r="M129" s="24">
        <v>200</v>
      </c>
      <c r="N129" s="24">
        <v>200</v>
      </c>
      <c r="O129" s="24">
        <f t="shared" si="24"/>
        <v>200</v>
      </c>
    </row>
    <row r="130" spans="1:15" s="16" customFormat="1" ht="31.5" x14ac:dyDescent="0.25">
      <c r="A130" s="19" t="s">
        <v>264</v>
      </c>
      <c r="B130" s="19" t="s">
        <v>263</v>
      </c>
      <c r="C130" s="19" t="s">
        <v>265</v>
      </c>
      <c r="D130" s="12" t="s">
        <v>266</v>
      </c>
      <c r="E130" s="20">
        <v>490</v>
      </c>
      <c r="F130" s="20"/>
      <c r="G130" s="20"/>
      <c r="H130" s="20">
        <f t="shared" si="23"/>
        <v>0</v>
      </c>
      <c r="I130" s="20"/>
      <c r="J130" s="20"/>
      <c r="K130" s="20"/>
      <c r="L130" s="20"/>
      <c r="M130" s="20"/>
      <c r="N130" s="20"/>
      <c r="O130" s="20">
        <f t="shared" si="24"/>
        <v>490</v>
      </c>
    </row>
    <row r="131" spans="1:15" s="16" customFormat="1" ht="31.5" x14ac:dyDescent="0.25">
      <c r="A131" s="19" t="s">
        <v>292</v>
      </c>
      <c r="B131" s="19" t="s">
        <v>291</v>
      </c>
      <c r="C131" s="19" t="s">
        <v>58</v>
      </c>
      <c r="D131" s="18" t="s">
        <v>258</v>
      </c>
      <c r="E131" s="20"/>
      <c r="F131" s="20"/>
      <c r="G131" s="20"/>
      <c r="H131" s="20">
        <f t="shared" si="23"/>
        <v>2767.5</v>
      </c>
      <c r="I131" s="20"/>
      <c r="J131" s="20"/>
      <c r="K131" s="20"/>
      <c r="L131" s="20">
        <f>500+2267.5</f>
        <v>2767.5</v>
      </c>
      <c r="M131" s="20">
        <f>500+2267.5</f>
        <v>2767.5</v>
      </c>
      <c r="N131" s="20">
        <f>500+2267.5</f>
        <v>2767.5</v>
      </c>
      <c r="O131" s="20">
        <f t="shared" si="24"/>
        <v>2767.5</v>
      </c>
    </row>
    <row r="132" spans="1:15" s="16" customFormat="1" ht="47.25" x14ac:dyDescent="0.25">
      <c r="A132" s="19" t="s">
        <v>257</v>
      </c>
      <c r="B132" s="19" t="s">
        <v>198</v>
      </c>
      <c r="C132" s="19" t="s">
        <v>100</v>
      </c>
      <c r="D132" s="12" t="s">
        <v>199</v>
      </c>
      <c r="E132" s="20">
        <f>12000+2000+752.4</f>
        <v>14752.4</v>
      </c>
      <c r="F132" s="20"/>
      <c r="G132" s="20"/>
      <c r="H132" s="20">
        <f>I132+L132</f>
        <v>20894.599999999999</v>
      </c>
      <c r="I132" s="20"/>
      <c r="J132" s="20"/>
      <c r="K132" s="20"/>
      <c r="L132" s="20">
        <f>17203+2297+1394.6</f>
        <v>20894.599999999999</v>
      </c>
      <c r="M132" s="20">
        <f>19500+1394.6</f>
        <v>20894.599999999999</v>
      </c>
      <c r="N132" s="20">
        <f>19500+1394.6</f>
        <v>20894.599999999999</v>
      </c>
      <c r="O132" s="20">
        <f>E132+H132</f>
        <v>35647</v>
      </c>
    </row>
    <row r="133" spans="1:15" s="16" customFormat="1" ht="15.75" x14ac:dyDescent="0.25">
      <c r="A133" s="19" t="s">
        <v>259</v>
      </c>
      <c r="B133" s="19" t="s">
        <v>196</v>
      </c>
      <c r="C133" s="19" t="s">
        <v>38</v>
      </c>
      <c r="D133" s="12" t="s">
        <v>39</v>
      </c>
      <c r="E133" s="20"/>
      <c r="F133" s="20"/>
      <c r="G133" s="20"/>
      <c r="H133" s="20">
        <f t="shared" si="23"/>
        <v>1000</v>
      </c>
      <c r="I133" s="20"/>
      <c r="J133" s="20"/>
      <c r="K133" s="20"/>
      <c r="L133" s="20">
        <v>1000</v>
      </c>
      <c r="M133" s="20">
        <v>1000</v>
      </c>
      <c r="N133" s="20"/>
      <c r="O133" s="20">
        <f t="shared" si="24"/>
        <v>1000</v>
      </c>
    </row>
    <row r="134" spans="1:15" s="16" customFormat="1" ht="31.5" x14ac:dyDescent="0.25">
      <c r="A134" s="19" t="s">
        <v>283</v>
      </c>
      <c r="B134" s="19" t="s">
        <v>274</v>
      </c>
      <c r="C134" s="19" t="s">
        <v>101</v>
      </c>
      <c r="D134" s="18" t="s">
        <v>295</v>
      </c>
      <c r="E134" s="20"/>
      <c r="F134" s="20"/>
      <c r="G134" s="20"/>
      <c r="H134" s="20">
        <f t="shared" si="23"/>
        <v>99.3</v>
      </c>
      <c r="I134" s="20">
        <v>99.3</v>
      </c>
      <c r="J134" s="20"/>
      <c r="K134" s="20"/>
      <c r="L134" s="20"/>
      <c r="M134" s="20"/>
      <c r="N134" s="20"/>
      <c r="O134" s="20">
        <f t="shared" si="24"/>
        <v>99.3</v>
      </c>
    </row>
    <row r="135" spans="1:15" s="95" customFormat="1" ht="47.25" x14ac:dyDescent="0.25">
      <c r="A135" s="25" t="s">
        <v>66</v>
      </c>
      <c r="B135" s="25"/>
      <c r="C135" s="25"/>
      <c r="D135" s="26" t="s">
        <v>27</v>
      </c>
      <c r="E135" s="21">
        <f>E136</f>
        <v>1592.8</v>
      </c>
      <c r="F135" s="21">
        <f t="shared" ref="F135:O135" si="25">F136</f>
        <v>1547</v>
      </c>
      <c r="G135" s="21">
        <f t="shared" si="25"/>
        <v>0</v>
      </c>
      <c r="H135" s="21">
        <f t="shared" si="25"/>
        <v>61483.483980000005</v>
      </c>
      <c r="I135" s="21">
        <f t="shared" si="25"/>
        <v>0</v>
      </c>
      <c r="J135" s="21">
        <f t="shared" si="25"/>
        <v>0</v>
      </c>
      <c r="K135" s="21">
        <f t="shared" si="25"/>
        <v>0</v>
      </c>
      <c r="L135" s="21">
        <f t="shared" si="25"/>
        <v>61483.483980000005</v>
      </c>
      <c r="M135" s="21">
        <f t="shared" si="25"/>
        <v>50300</v>
      </c>
      <c r="N135" s="21">
        <f t="shared" si="25"/>
        <v>50300</v>
      </c>
      <c r="O135" s="21">
        <f t="shared" si="25"/>
        <v>63076.283980000007</v>
      </c>
    </row>
    <row r="136" spans="1:15" s="16" customFormat="1" ht="47.25" x14ac:dyDescent="0.25">
      <c r="A136" s="25" t="s">
        <v>67</v>
      </c>
      <c r="B136" s="19"/>
      <c r="C136" s="19"/>
      <c r="D136" s="26" t="s">
        <v>27</v>
      </c>
      <c r="E136" s="21">
        <f>E137+E138+E139+E140+E141</f>
        <v>1592.8</v>
      </c>
      <c r="F136" s="21">
        <f t="shared" ref="F136:N136" si="26">F137+F138+F139+F140+F141</f>
        <v>1547</v>
      </c>
      <c r="G136" s="21">
        <f t="shared" si="26"/>
        <v>0</v>
      </c>
      <c r="H136" s="21">
        <f t="shared" si="26"/>
        <v>61483.483980000005</v>
      </c>
      <c r="I136" s="21">
        <f t="shared" si="26"/>
        <v>0</v>
      </c>
      <c r="J136" s="21">
        <f t="shared" si="26"/>
        <v>0</v>
      </c>
      <c r="K136" s="21">
        <f t="shared" si="26"/>
        <v>0</v>
      </c>
      <c r="L136" s="21">
        <f t="shared" si="26"/>
        <v>61483.483980000005</v>
      </c>
      <c r="M136" s="21">
        <f t="shared" si="26"/>
        <v>50300</v>
      </c>
      <c r="N136" s="21">
        <f t="shared" si="26"/>
        <v>50300</v>
      </c>
      <c r="O136" s="21">
        <f t="shared" ref="O136:O161" si="27">E136+H136</f>
        <v>63076.283980000007</v>
      </c>
    </row>
    <row r="137" spans="1:15" s="16" customFormat="1" ht="47.25" x14ac:dyDescent="0.25">
      <c r="A137" s="19" t="s">
        <v>184</v>
      </c>
      <c r="B137" s="19" t="s">
        <v>124</v>
      </c>
      <c r="C137" s="19" t="s">
        <v>32</v>
      </c>
      <c r="D137" s="18" t="s">
        <v>126</v>
      </c>
      <c r="E137" s="20">
        <v>1592.8</v>
      </c>
      <c r="F137" s="20">
        <f>1268+279</f>
        <v>1547</v>
      </c>
      <c r="G137" s="20"/>
      <c r="H137" s="20">
        <f>I137+L137</f>
        <v>0</v>
      </c>
      <c r="I137" s="20"/>
      <c r="J137" s="20"/>
      <c r="K137" s="20"/>
      <c r="L137" s="20"/>
      <c r="M137" s="20"/>
      <c r="N137" s="20"/>
      <c r="O137" s="20">
        <f t="shared" si="27"/>
        <v>1592.8</v>
      </c>
    </row>
    <row r="138" spans="1:15" s="16" customFormat="1" ht="31.5" x14ac:dyDescent="0.25">
      <c r="A138" s="19" t="s">
        <v>269</v>
      </c>
      <c r="B138" s="19" t="s">
        <v>267</v>
      </c>
      <c r="C138" s="19" t="s">
        <v>98</v>
      </c>
      <c r="D138" s="18" t="s">
        <v>268</v>
      </c>
      <c r="E138" s="20"/>
      <c r="F138" s="20"/>
      <c r="G138" s="20"/>
      <c r="H138" s="20">
        <f>I138+L138</f>
        <v>200</v>
      </c>
      <c r="I138" s="20"/>
      <c r="J138" s="20"/>
      <c r="K138" s="20"/>
      <c r="L138" s="20">
        <v>200</v>
      </c>
      <c r="M138" s="20">
        <v>200</v>
      </c>
      <c r="N138" s="20">
        <v>200</v>
      </c>
      <c r="O138" s="20">
        <f t="shared" si="27"/>
        <v>200</v>
      </c>
    </row>
    <row r="139" spans="1:15" s="16" customFormat="1" ht="31.5" x14ac:dyDescent="0.25">
      <c r="A139" s="19" t="s">
        <v>293</v>
      </c>
      <c r="B139" s="19" t="s">
        <v>291</v>
      </c>
      <c r="C139" s="19" t="s">
        <v>58</v>
      </c>
      <c r="D139" s="18" t="s">
        <v>258</v>
      </c>
      <c r="E139" s="20"/>
      <c r="F139" s="20"/>
      <c r="G139" s="20"/>
      <c r="H139" s="20">
        <f>I139+L139</f>
        <v>35100</v>
      </c>
      <c r="I139" s="20"/>
      <c r="J139" s="20"/>
      <c r="K139" s="20"/>
      <c r="L139" s="20">
        <f>100+10000+10000+5000+10000</f>
        <v>35100</v>
      </c>
      <c r="M139" s="20">
        <f>100+10000+10000+5000+10000</f>
        <v>35100</v>
      </c>
      <c r="N139" s="20">
        <f>100+10000+10000+5000+10000</f>
        <v>35100</v>
      </c>
      <c r="O139" s="20">
        <f t="shared" si="27"/>
        <v>35100</v>
      </c>
    </row>
    <row r="140" spans="1:15" s="16" customFormat="1" ht="141.75" x14ac:dyDescent="0.25">
      <c r="A140" s="19" t="s">
        <v>371</v>
      </c>
      <c r="B140" s="19" t="s">
        <v>372</v>
      </c>
      <c r="C140" s="19" t="s">
        <v>58</v>
      </c>
      <c r="D140" s="18" t="s">
        <v>373</v>
      </c>
      <c r="E140" s="24"/>
      <c r="F140" s="24"/>
      <c r="G140" s="24"/>
      <c r="H140" s="24">
        <f>I140+L140</f>
        <v>11183.483980000001</v>
      </c>
      <c r="I140" s="24"/>
      <c r="J140" s="24"/>
      <c r="K140" s="24"/>
      <c r="L140" s="24">
        <v>11183.483980000001</v>
      </c>
      <c r="M140" s="24"/>
      <c r="N140" s="24"/>
      <c r="O140" s="24">
        <f t="shared" si="27"/>
        <v>11183.483980000001</v>
      </c>
    </row>
    <row r="141" spans="1:15" s="16" customFormat="1" ht="31.5" x14ac:dyDescent="0.25">
      <c r="A141" s="19" t="s">
        <v>271</v>
      </c>
      <c r="B141" s="19" t="s">
        <v>270</v>
      </c>
      <c r="C141" s="19" t="s">
        <v>273</v>
      </c>
      <c r="D141" s="18" t="s">
        <v>272</v>
      </c>
      <c r="E141" s="20"/>
      <c r="F141" s="20"/>
      <c r="G141" s="20"/>
      <c r="H141" s="20">
        <f>I141+L141</f>
        <v>15000</v>
      </c>
      <c r="I141" s="20"/>
      <c r="J141" s="20"/>
      <c r="K141" s="20"/>
      <c r="L141" s="20">
        <v>15000</v>
      </c>
      <c r="M141" s="20">
        <v>15000</v>
      </c>
      <c r="N141" s="20">
        <v>15000</v>
      </c>
      <c r="O141" s="20">
        <f t="shared" si="27"/>
        <v>15000</v>
      </c>
    </row>
    <row r="142" spans="1:15" s="95" customFormat="1" ht="47.25" x14ac:dyDescent="0.25">
      <c r="A142" s="25" t="s">
        <v>181</v>
      </c>
      <c r="B142" s="25"/>
      <c r="C142" s="25"/>
      <c r="D142" s="26" t="s">
        <v>24</v>
      </c>
      <c r="E142" s="21">
        <f>E143</f>
        <v>1824.7</v>
      </c>
      <c r="F142" s="21">
        <f t="shared" ref="F142:O142" si="28">F143</f>
        <v>1787</v>
      </c>
      <c r="G142" s="21">
        <f t="shared" si="28"/>
        <v>0</v>
      </c>
      <c r="H142" s="21">
        <f t="shared" si="28"/>
        <v>12</v>
      </c>
      <c r="I142" s="21">
        <f t="shared" si="28"/>
        <v>0</v>
      </c>
      <c r="J142" s="21">
        <f t="shared" si="28"/>
        <v>0</v>
      </c>
      <c r="K142" s="21">
        <f t="shared" si="28"/>
        <v>0</v>
      </c>
      <c r="L142" s="21">
        <f t="shared" si="28"/>
        <v>12</v>
      </c>
      <c r="M142" s="21">
        <f t="shared" si="28"/>
        <v>12</v>
      </c>
      <c r="N142" s="21">
        <f t="shared" si="28"/>
        <v>12</v>
      </c>
      <c r="O142" s="21">
        <f t="shared" si="28"/>
        <v>1836.7</v>
      </c>
    </row>
    <row r="143" spans="1:15" s="16" customFormat="1" ht="47.25" x14ac:dyDescent="0.25">
      <c r="A143" s="25" t="s">
        <v>182</v>
      </c>
      <c r="B143" s="19"/>
      <c r="C143" s="19"/>
      <c r="D143" s="26" t="s">
        <v>24</v>
      </c>
      <c r="E143" s="21">
        <f>E144</f>
        <v>1824.7</v>
      </c>
      <c r="F143" s="21">
        <f>F144</f>
        <v>1787</v>
      </c>
      <c r="G143" s="21"/>
      <c r="H143" s="21">
        <f>I143+L143</f>
        <v>12</v>
      </c>
      <c r="I143" s="21"/>
      <c r="J143" s="21"/>
      <c r="K143" s="21"/>
      <c r="L143" s="21">
        <f>L144</f>
        <v>12</v>
      </c>
      <c r="M143" s="21">
        <f>M144</f>
        <v>12</v>
      </c>
      <c r="N143" s="21">
        <f>N144</f>
        <v>12</v>
      </c>
      <c r="O143" s="21">
        <f t="shared" si="27"/>
        <v>1836.7</v>
      </c>
    </row>
    <row r="144" spans="1:15" s="16" customFormat="1" ht="47.25" x14ac:dyDescent="0.25">
      <c r="A144" s="19" t="s">
        <v>183</v>
      </c>
      <c r="B144" s="19" t="s">
        <v>124</v>
      </c>
      <c r="C144" s="19" t="s">
        <v>32</v>
      </c>
      <c r="D144" s="18" t="s">
        <v>126</v>
      </c>
      <c r="E144" s="20">
        <v>1824.7</v>
      </c>
      <c r="F144" s="20">
        <f>1465+322</f>
        <v>1787</v>
      </c>
      <c r="G144" s="20"/>
      <c r="H144" s="20">
        <f>I144+L144</f>
        <v>12</v>
      </c>
      <c r="I144" s="20"/>
      <c r="J144" s="20"/>
      <c r="K144" s="20"/>
      <c r="L144" s="20">
        <v>12</v>
      </c>
      <c r="M144" s="20">
        <v>12</v>
      </c>
      <c r="N144" s="20">
        <v>12</v>
      </c>
      <c r="O144" s="20">
        <f t="shared" si="27"/>
        <v>1836.7</v>
      </c>
    </row>
    <row r="145" spans="1:15" s="16" customFormat="1" ht="47.25" x14ac:dyDescent="0.25">
      <c r="A145" s="25" t="s">
        <v>185</v>
      </c>
      <c r="B145" s="25"/>
      <c r="C145" s="25"/>
      <c r="D145" s="26" t="s">
        <v>23</v>
      </c>
      <c r="E145" s="21">
        <f>E146</f>
        <v>2188.1999999999998</v>
      </c>
      <c r="F145" s="21">
        <f t="shared" ref="F145:O145" si="29">F146</f>
        <v>1863</v>
      </c>
      <c r="G145" s="21">
        <f t="shared" si="29"/>
        <v>0</v>
      </c>
      <c r="H145" s="21">
        <f t="shared" si="29"/>
        <v>1925</v>
      </c>
      <c r="I145" s="21">
        <f t="shared" si="29"/>
        <v>0</v>
      </c>
      <c r="J145" s="21">
        <f t="shared" si="29"/>
        <v>0</v>
      </c>
      <c r="K145" s="21">
        <f t="shared" si="29"/>
        <v>0</v>
      </c>
      <c r="L145" s="21">
        <f t="shared" si="29"/>
        <v>1925</v>
      </c>
      <c r="M145" s="21">
        <f t="shared" si="29"/>
        <v>1925</v>
      </c>
      <c r="N145" s="21">
        <f t="shared" si="29"/>
        <v>1925</v>
      </c>
      <c r="O145" s="21">
        <f t="shared" si="29"/>
        <v>4113.2</v>
      </c>
    </row>
    <row r="146" spans="1:15" s="16" customFormat="1" ht="47.25" x14ac:dyDescent="0.25">
      <c r="A146" s="25" t="s">
        <v>186</v>
      </c>
      <c r="B146" s="19"/>
      <c r="C146" s="19"/>
      <c r="D146" s="26" t="s">
        <v>23</v>
      </c>
      <c r="E146" s="21">
        <f>E147+E148+E149+E150+E151</f>
        <v>2188.1999999999998</v>
      </c>
      <c r="F146" s="21">
        <f t="shared" ref="F146:N146" si="30">F147+F148+F149+F150+F151</f>
        <v>1863</v>
      </c>
      <c r="G146" s="21">
        <f t="shared" si="30"/>
        <v>0</v>
      </c>
      <c r="H146" s="21">
        <f>I146+L146</f>
        <v>1925</v>
      </c>
      <c r="I146" s="21">
        <f t="shared" si="30"/>
        <v>0</v>
      </c>
      <c r="J146" s="21">
        <f t="shared" si="30"/>
        <v>0</v>
      </c>
      <c r="K146" s="21">
        <f t="shared" si="30"/>
        <v>0</v>
      </c>
      <c r="L146" s="21">
        <f t="shared" si="30"/>
        <v>1925</v>
      </c>
      <c r="M146" s="21">
        <f t="shared" si="30"/>
        <v>1925</v>
      </c>
      <c r="N146" s="21">
        <f t="shared" si="30"/>
        <v>1925</v>
      </c>
      <c r="O146" s="21">
        <f t="shared" ref="O146:O151" si="31">E146+H146</f>
        <v>4113.2</v>
      </c>
    </row>
    <row r="147" spans="1:15" s="16" customFormat="1" ht="47.25" x14ac:dyDescent="0.25">
      <c r="A147" s="19" t="s">
        <v>187</v>
      </c>
      <c r="B147" s="19" t="s">
        <v>124</v>
      </c>
      <c r="C147" s="19" t="s">
        <v>32</v>
      </c>
      <c r="D147" s="18" t="s">
        <v>126</v>
      </c>
      <c r="E147" s="20">
        <v>1898.7</v>
      </c>
      <c r="F147" s="20">
        <f>1527+336</f>
        <v>1863</v>
      </c>
      <c r="G147" s="20"/>
      <c r="H147" s="20"/>
      <c r="I147" s="20"/>
      <c r="J147" s="20"/>
      <c r="K147" s="20"/>
      <c r="L147" s="20"/>
      <c r="M147" s="20"/>
      <c r="N147" s="20"/>
      <c r="O147" s="20">
        <f t="shared" si="31"/>
        <v>1898.7</v>
      </c>
    </row>
    <row r="148" spans="1:15" s="16" customFormat="1" ht="31.5" x14ac:dyDescent="0.25">
      <c r="A148" s="19" t="s">
        <v>206</v>
      </c>
      <c r="B148" s="19" t="s">
        <v>41</v>
      </c>
      <c r="C148" s="19" t="s">
        <v>37</v>
      </c>
      <c r="D148" s="18" t="s">
        <v>207</v>
      </c>
      <c r="E148" s="20">
        <v>100.5</v>
      </c>
      <c r="F148" s="20"/>
      <c r="G148" s="20"/>
      <c r="H148" s="20"/>
      <c r="I148" s="20"/>
      <c r="J148" s="20"/>
      <c r="K148" s="20"/>
      <c r="L148" s="20"/>
      <c r="M148" s="20"/>
      <c r="N148" s="20"/>
      <c r="O148" s="20">
        <f t="shared" si="31"/>
        <v>100.5</v>
      </c>
    </row>
    <row r="149" spans="1:15" s="16" customFormat="1" ht="15.75" x14ac:dyDescent="0.25">
      <c r="A149" s="19" t="s">
        <v>212</v>
      </c>
      <c r="B149" s="19" t="s">
        <v>211</v>
      </c>
      <c r="C149" s="19" t="s">
        <v>115</v>
      </c>
      <c r="D149" s="18" t="s">
        <v>213</v>
      </c>
      <c r="E149" s="20"/>
      <c r="F149" s="20"/>
      <c r="G149" s="20"/>
      <c r="H149" s="20">
        <f>I149+L149</f>
        <v>300</v>
      </c>
      <c r="I149" s="20"/>
      <c r="J149" s="20"/>
      <c r="K149" s="20"/>
      <c r="L149" s="20">
        <v>300</v>
      </c>
      <c r="M149" s="20">
        <v>300</v>
      </c>
      <c r="N149" s="20">
        <v>300</v>
      </c>
      <c r="O149" s="20">
        <f t="shared" si="31"/>
        <v>300</v>
      </c>
    </row>
    <row r="150" spans="1:15" s="16" customFormat="1" ht="31.5" x14ac:dyDescent="0.25">
      <c r="A150" s="19" t="s">
        <v>294</v>
      </c>
      <c r="B150" s="19" t="s">
        <v>291</v>
      </c>
      <c r="C150" s="19" t="s">
        <v>58</v>
      </c>
      <c r="D150" s="18" t="s">
        <v>258</v>
      </c>
      <c r="E150" s="20"/>
      <c r="F150" s="20"/>
      <c r="G150" s="20"/>
      <c r="H150" s="20">
        <f>I150+L150</f>
        <v>1625</v>
      </c>
      <c r="I150" s="20"/>
      <c r="J150" s="20"/>
      <c r="K150" s="20"/>
      <c r="L150" s="20">
        <f>1490+135</f>
        <v>1625</v>
      </c>
      <c r="M150" s="20">
        <f>1490+135</f>
        <v>1625</v>
      </c>
      <c r="N150" s="20">
        <f>1490+135</f>
        <v>1625</v>
      </c>
      <c r="O150" s="20">
        <f t="shared" si="31"/>
        <v>1625</v>
      </c>
    </row>
    <row r="151" spans="1:15" s="16" customFormat="1" ht="31.5" x14ac:dyDescent="0.25">
      <c r="A151" s="19" t="s">
        <v>209</v>
      </c>
      <c r="B151" s="19" t="s">
        <v>208</v>
      </c>
      <c r="C151" s="19" t="s">
        <v>58</v>
      </c>
      <c r="D151" s="18" t="s">
        <v>210</v>
      </c>
      <c r="E151" s="20">
        <v>189</v>
      </c>
      <c r="F151" s="20"/>
      <c r="G151" s="20"/>
      <c r="H151" s="20"/>
      <c r="I151" s="20"/>
      <c r="J151" s="20"/>
      <c r="K151" s="20"/>
      <c r="L151" s="20"/>
      <c r="M151" s="20"/>
      <c r="N151" s="20"/>
      <c r="O151" s="20">
        <f t="shared" si="31"/>
        <v>189</v>
      </c>
    </row>
    <row r="152" spans="1:15" s="95" customFormat="1" ht="31.5" x14ac:dyDescent="0.25">
      <c r="A152" s="25" t="s">
        <v>188</v>
      </c>
      <c r="B152" s="25"/>
      <c r="C152" s="25"/>
      <c r="D152" s="26" t="s">
        <v>16</v>
      </c>
      <c r="E152" s="21">
        <f>E153</f>
        <v>63769.700000000004</v>
      </c>
      <c r="F152" s="21">
        <f t="shared" ref="F152:O152" si="32">F153</f>
        <v>2766.1</v>
      </c>
      <c r="G152" s="21">
        <f t="shared" si="32"/>
        <v>0</v>
      </c>
      <c r="H152" s="21">
        <f t="shared" si="32"/>
        <v>4367.2000000000007</v>
      </c>
      <c r="I152" s="21">
        <f t="shared" si="32"/>
        <v>0</v>
      </c>
      <c r="J152" s="21">
        <f t="shared" si="32"/>
        <v>0</v>
      </c>
      <c r="K152" s="21">
        <f t="shared" si="32"/>
        <v>0</v>
      </c>
      <c r="L152" s="21">
        <f t="shared" si="32"/>
        <v>4367.2000000000007</v>
      </c>
      <c r="M152" s="21">
        <f t="shared" si="32"/>
        <v>4367.2000000000007</v>
      </c>
      <c r="N152" s="21">
        <f t="shared" si="32"/>
        <v>4367.2000000000007</v>
      </c>
      <c r="O152" s="21">
        <f t="shared" si="32"/>
        <v>68136.900000000009</v>
      </c>
    </row>
    <row r="153" spans="1:15" s="16" customFormat="1" ht="31.5" x14ac:dyDescent="0.25">
      <c r="A153" s="25" t="s">
        <v>189</v>
      </c>
      <c r="B153" s="19"/>
      <c r="C153" s="19"/>
      <c r="D153" s="26" t="s">
        <v>16</v>
      </c>
      <c r="E153" s="21">
        <f>E154+E155+E156+E157+E158+E161</f>
        <v>63769.700000000004</v>
      </c>
      <c r="F153" s="21">
        <f t="shared" ref="F153:N153" si="33">F154+F155+F156+F157+F158+F161</f>
        <v>2766.1</v>
      </c>
      <c r="G153" s="21">
        <f t="shared" si="33"/>
        <v>0</v>
      </c>
      <c r="H153" s="21">
        <f t="shared" si="33"/>
        <v>4367.2000000000007</v>
      </c>
      <c r="I153" s="21">
        <f t="shared" si="33"/>
        <v>0</v>
      </c>
      <c r="J153" s="21">
        <f t="shared" si="33"/>
        <v>0</v>
      </c>
      <c r="K153" s="21">
        <f t="shared" si="33"/>
        <v>0</v>
      </c>
      <c r="L153" s="21">
        <f t="shared" si="33"/>
        <v>4367.2000000000007</v>
      </c>
      <c r="M153" s="21">
        <f t="shared" si="33"/>
        <v>4367.2000000000007</v>
      </c>
      <c r="N153" s="21">
        <f t="shared" si="33"/>
        <v>4367.2000000000007</v>
      </c>
      <c r="O153" s="21">
        <f t="shared" si="27"/>
        <v>68136.900000000009</v>
      </c>
    </row>
    <row r="154" spans="1:15" s="16" customFormat="1" ht="47.25" x14ac:dyDescent="0.25">
      <c r="A154" s="19" t="s">
        <v>190</v>
      </c>
      <c r="B154" s="19" t="s">
        <v>124</v>
      </c>
      <c r="C154" s="19" t="s">
        <v>32</v>
      </c>
      <c r="D154" s="18" t="s">
        <v>126</v>
      </c>
      <c r="E154" s="20">
        <f>2840.9+55</f>
        <v>2895.9</v>
      </c>
      <c r="F154" s="20">
        <f>2222.2+488.9+55</f>
        <v>2766.1</v>
      </c>
      <c r="G154" s="20"/>
      <c r="H154" s="20">
        <f>I154+L154</f>
        <v>20</v>
      </c>
      <c r="I154" s="20"/>
      <c r="J154" s="20"/>
      <c r="K154" s="20"/>
      <c r="L154" s="20">
        <v>20</v>
      </c>
      <c r="M154" s="20">
        <v>20</v>
      </c>
      <c r="N154" s="20">
        <v>20</v>
      </c>
      <c r="O154" s="20">
        <f t="shared" si="27"/>
        <v>2915.9</v>
      </c>
    </row>
    <row r="155" spans="1:15" s="16" customFormat="1" ht="31.5" x14ac:dyDescent="0.25">
      <c r="A155" s="19" t="s">
        <v>214</v>
      </c>
      <c r="B155" s="19" t="s">
        <v>41</v>
      </c>
      <c r="C155" s="19" t="s">
        <v>37</v>
      </c>
      <c r="D155" s="18" t="s">
        <v>207</v>
      </c>
      <c r="E155" s="20">
        <f>100+6000+85</f>
        <v>6185</v>
      </c>
      <c r="F155" s="20"/>
      <c r="G155" s="20"/>
      <c r="H155" s="20">
        <f>I155+L155</f>
        <v>365.20000000000073</v>
      </c>
      <c r="I155" s="20"/>
      <c r="J155" s="20"/>
      <c r="K155" s="20"/>
      <c r="L155" s="20">
        <f>13873+5000-2297-500-1000-14710.8</f>
        <v>365.20000000000073</v>
      </c>
      <c r="M155" s="20">
        <f>13873+5000-2297-500-1000-14710.8</f>
        <v>365.20000000000073</v>
      </c>
      <c r="N155" s="20">
        <f>13873+5000-2297-500-1000-14710.8</f>
        <v>365.20000000000073</v>
      </c>
      <c r="O155" s="20">
        <f t="shared" si="27"/>
        <v>6550.2000000000007</v>
      </c>
    </row>
    <row r="156" spans="1:15" s="16" customFormat="1" ht="15.75" x14ac:dyDescent="0.25">
      <c r="A156" s="19" t="s">
        <v>218</v>
      </c>
      <c r="B156" s="19" t="s">
        <v>217</v>
      </c>
      <c r="C156" s="19" t="s">
        <v>37</v>
      </c>
      <c r="D156" s="18" t="s">
        <v>12</v>
      </c>
      <c r="E156" s="20">
        <f>3000+3000</f>
        <v>6000</v>
      </c>
      <c r="F156" s="20"/>
      <c r="G156" s="20"/>
      <c r="H156" s="20"/>
      <c r="I156" s="20"/>
      <c r="J156" s="20"/>
      <c r="K156" s="20"/>
      <c r="L156" s="20"/>
      <c r="M156" s="20"/>
      <c r="N156" s="20"/>
      <c r="O156" s="20">
        <f t="shared" si="27"/>
        <v>6000</v>
      </c>
    </row>
    <row r="157" spans="1:15" s="16" customFormat="1" ht="15.75" x14ac:dyDescent="0.25">
      <c r="A157" s="19" t="s">
        <v>216</v>
      </c>
      <c r="B157" s="19" t="s">
        <v>215</v>
      </c>
      <c r="C157" s="19" t="s">
        <v>41</v>
      </c>
      <c r="D157" s="18" t="s">
        <v>13</v>
      </c>
      <c r="E157" s="20">
        <v>46284</v>
      </c>
      <c r="F157" s="20"/>
      <c r="G157" s="20"/>
      <c r="H157" s="20"/>
      <c r="I157" s="20"/>
      <c r="J157" s="20"/>
      <c r="K157" s="20"/>
      <c r="L157" s="20"/>
      <c r="M157" s="20"/>
      <c r="N157" s="20"/>
      <c r="O157" s="20">
        <f t="shared" si="27"/>
        <v>46284</v>
      </c>
    </row>
    <row r="158" spans="1:15" s="16" customFormat="1" ht="15.75" x14ac:dyDescent="0.25">
      <c r="A158" s="19" t="s">
        <v>383</v>
      </c>
      <c r="B158" s="19" t="s">
        <v>381</v>
      </c>
      <c r="C158" s="19" t="s">
        <v>41</v>
      </c>
      <c r="D158" s="85" t="s">
        <v>382</v>
      </c>
      <c r="E158" s="24">
        <v>15</v>
      </c>
      <c r="F158" s="24"/>
      <c r="G158" s="24"/>
      <c r="H158" s="24">
        <f>L158</f>
        <v>313</v>
      </c>
      <c r="I158" s="24"/>
      <c r="J158" s="24"/>
      <c r="K158" s="24"/>
      <c r="L158" s="24">
        <f>L160</f>
        <v>313</v>
      </c>
      <c r="M158" s="24">
        <f>M160</f>
        <v>313</v>
      </c>
      <c r="N158" s="24">
        <f>N160</f>
        <v>313</v>
      </c>
      <c r="O158" s="24">
        <f t="shared" si="27"/>
        <v>328</v>
      </c>
    </row>
    <row r="159" spans="1:15" s="16" customFormat="1" ht="15.75" x14ac:dyDescent="0.25">
      <c r="A159" s="19"/>
      <c r="B159" s="19"/>
      <c r="C159" s="19"/>
      <c r="D159" s="83" t="s">
        <v>376</v>
      </c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</row>
    <row r="160" spans="1:15" s="16" customFormat="1" ht="78.75" x14ac:dyDescent="0.25">
      <c r="A160" s="19"/>
      <c r="B160" s="19"/>
      <c r="C160" s="19"/>
      <c r="D160" s="101" t="s">
        <v>386</v>
      </c>
      <c r="E160" s="76">
        <v>15</v>
      </c>
      <c r="F160" s="76"/>
      <c r="G160" s="76"/>
      <c r="H160" s="76">
        <f>I160+L160</f>
        <v>313</v>
      </c>
      <c r="I160" s="76"/>
      <c r="J160" s="76"/>
      <c r="K160" s="76"/>
      <c r="L160" s="76">
        <v>313</v>
      </c>
      <c r="M160" s="76">
        <v>313</v>
      </c>
      <c r="N160" s="76">
        <v>313</v>
      </c>
      <c r="O160" s="76">
        <f>E160+H160</f>
        <v>328</v>
      </c>
    </row>
    <row r="161" spans="1:15" s="16" customFormat="1" ht="47.25" x14ac:dyDescent="0.25">
      <c r="A161" s="19" t="s">
        <v>347</v>
      </c>
      <c r="B161" s="19" t="s">
        <v>341</v>
      </c>
      <c r="C161" s="19" t="s">
        <v>41</v>
      </c>
      <c r="D161" s="18" t="s">
        <v>342</v>
      </c>
      <c r="E161" s="24">
        <f>E163+E164+E165</f>
        <v>2389.8000000000002</v>
      </c>
      <c r="F161" s="24"/>
      <c r="G161" s="24"/>
      <c r="H161" s="24">
        <f>I161+L161</f>
        <v>3669</v>
      </c>
      <c r="I161" s="24"/>
      <c r="J161" s="24"/>
      <c r="K161" s="24"/>
      <c r="L161" s="24">
        <f>L163+L164+L165</f>
        <v>3669</v>
      </c>
      <c r="M161" s="24">
        <f>M163+M164+M165</f>
        <v>3669</v>
      </c>
      <c r="N161" s="24">
        <f>N163+N164+N165</f>
        <v>3669</v>
      </c>
      <c r="O161" s="24">
        <f t="shared" si="27"/>
        <v>6058.8</v>
      </c>
    </row>
    <row r="162" spans="1:15" s="102" customFormat="1" ht="15.75" x14ac:dyDescent="0.25">
      <c r="A162" s="35"/>
      <c r="B162" s="35"/>
      <c r="C162" s="35"/>
      <c r="D162" s="83" t="s">
        <v>376</v>
      </c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</row>
    <row r="163" spans="1:15" s="16" customFormat="1" ht="47.25" x14ac:dyDescent="0.25">
      <c r="A163" s="19"/>
      <c r="B163" s="19"/>
      <c r="C163" s="19"/>
      <c r="D163" s="81" t="s">
        <v>374</v>
      </c>
      <c r="E163" s="76">
        <v>1238.8</v>
      </c>
      <c r="F163" s="76"/>
      <c r="G163" s="76"/>
      <c r="H163" s="76">
        <f>I163+L163</f>
        <v>1630</v>
      </c>
      <c r="I163" s="76"/>
      <c r="J163" s="76"/>
      <c r="K163" s="76"/>
      <c r="L163" s="76">
        <v>1630</v>
      </c>
      <c r="M163" s="76">
        <v>1630</v>
      </c>
      <c r="N163" s="76">
        <v>1630</v>
      </c>
      <c r="O163" s="76">
        <f>E163+H163</f>
        <v>2868.8</v>
      </c>
    </row>
    <row r="164" spans="1:15" s="16" customFormat="1" ht="31.5" x14ac:dyDescent="0.25">
      <c r="A164" s="19"/>
      <c r="B164" s="19"/>
      <c r="C164" s="19"/>
      <c r="D164" s="101" t="s">
        <v>375</v>
      </c>
      <c r="E164" s="76">
        <v>850</v>
      </c>
      <c r="F164" s="76"/>
      <c r="G164" s="76"/>
      <c r="H164" s="76">
        <f>I164+L164</f>
        <v>1700</v>
      </c>
      <c r="I164" s="76"/>
      <c r="J164" s="76"/>
      <c r="K164" s="76"/>
      <c r="L164" s="76">
        <v>1700</v>
      </c>
      <c r="M164" s="76">
        <v>1700</v>
      </c>
      <c r="N164" s="76">
        <v>1700</v>
      </c>
      <c r="O164" s="76">
        <f>E164+H164</f>
        <v>2550</v>
      </c>
    </row>
    <row r="165" spans="1:15" s="16" customFormat="1" ht="110.25" x14ac:dyDescent="0.25">
      <c r="A165" s="19"/>
      <c r="B165" s="19"/>
      <c r="C165" s="19"/>
      <c r="D165" s="101" t="s">
        <v>384</v>
      </c>
      <c r="E165" s="76">
        <v>301</v>
      </c>
      <c r="F165" s="76"/>
      <c r="G165" s="76"/>
      <c r="H165" s="76">
        <f>I165+L165</f>
        <v>339</v>
      </c>
      <c r="I165" s="76"/>
      <c r="J165" s="76"/>
      <c r="K165" s="76"/>
      <c r="L165" s="76">
        <v>339</v>
      </c>
      <c r="M165" s="76">
        <v>339</v>
      </c>
      <c r="N165" s="76">
        <v>339</v>
      </c>
      <c r="O165" s="76">
        <f>E165+H165</f>
        <v>640</v>
      </c>
    </row>
    <row r="166" spans="1:15" s="16" customFormat="1" ht="15.75" x14ac:dyDescent="0.25">
      <c r="A166" s="19"/>
      <c r="B166" s="19"/>
      <c r="C166" s="19"/>
      <c r="D166" s="40" t="s">
        <v>11</v>
      </c>
      <c r="E166" s="21">
        <f>E11+E34+E38+E42+E46+E69+E95+E100+E109+E118+E135+E142+E145+E152</f>
        <v>673597.08</v>
      </c>
      <c r="F166" s="21">
        <f>F11+F34+F38+F42+F46+F69+F95+F100+F109+F118+F135+F142+F145+F152</f>
        <v>246322.50000000003</v>
      </c>
      <c r="G166" s="21">
        <f>G11+G34+G38+G42+G46+G69+G95+G100+G109+G118+G135+G142+G145+G152</f>
        <v>26806.400000000001</v>
      </c>
      <c r="H166" s="21">
        <f>I166+L166</f>
        <v>181295.23736000003</v>
      </c>
      <c r="I166" s="21">
        <f t="shared" ref="I166:N166" si="34">I11+I34+I38+I42+I46+I69+I95+I100+I109+I118+I135+I142+I145+I152</f>
        <v>19040.200999999997</v>
      </c>
      <c r="J166" s="21">
        <f t="shared" si="34"/>
        <v>233.8</v>
      </c>
      <c r="K166" s="21">
        <f t="shared" si="34"/>
        <v>0</v>
      </c>
      <c r="L166" s="21">
        <f t="shared" si="34"/>
        <v>162255.03636000003</v>
      </c>
      <c r="M166" s="21">
        <f t="shared" si="34"/>
        <v>150967.55238000001</v>
      </c>
      <c r="N166" s="21">
        <f t="shared" si="34"/>
        <v>144967.55238000001</v>
      </c>
      <c r="O166" s="21">
        <f>E166+H166</f>
        <v>854892.31735999999</v>
      </c>
    </row>
    <row r="167" spans="1:15" s="16" customFormat="1" ht="15.75" x14ac:dyDescent="0.25">
      <c r="A167" s="42"/>
      <c r="B167" s="42"/>
      <c r="C167" s="42"/>
      <c r="D167" s="43"/>
      <c r="E167" s="43"/>
      <c r="F167" s="43"/>
      <c r="G167" s="43"/>
      <c r="J167" s="44"/>
      <c r="K167" s="44"/>
      <c r="L167" s="44"/>
      <c r="M167" s="44"/>
      <c r="N167" s="44"/>
      <c r="O167" s="44"/>
    </row>
    <row r="168" spans="1:15" s="29" customFormat="1" ht="15.75" x14ac:dyDescent="0.25">
      <c r="A168" s="42"/>
      <c r="B168" s="42"/>
      <c r="C168" s="42"/>
      <c r="D168" s="29" t="s">
        <v>108</v>
      </c>
      <c r="E168" s="45"/>
      <c r="L168" s="29" t="s">
        <v>109</v>
      </c>
    </row>
    <row r="169" spans="1:15" s="2" customFormat="1" x14ac:dyDescent="0.25">
      <c r="A169" s="6"/>
      <c r="B169" s="6"/>
      <c r="C169" s="6"/>
      <c r="D169" s="32"/>
      <c r="E169" s="17"/>
      <c r="K169" s="32"/>
    </row>
    <row r="170" spans="1:15" x14ac:dyDescent="0.25"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</row>
    <row r="171" spans="1:15" x14ac:dyDescent="0.25">
      <c r="E171" s="34">
        <f>[1]початковий!E145+'[1]зміни лютий'!E170</f>
        <v>673597.08</v>
      </c>
      <c r="F171" s="34">
        <f>[1]початковий!F145+'[1]зміни лютий'!F170</f>
        <v>246322.50000000003</v>
      </c>
      <c r="G171" s="34">
        <f>[1]початковий!G145+'[1]зміни лютий'!G170</f>
        <v>26806.400000000001</v>
      </c>
      <c r="H171" s="34">
        <f>[1]початковий!H145+'[1]зміни лютий'!H170</f>
        <v>181295.23736</v>
      </c>
      <c r="I171" s="34">
        <f>[1]початковий!I145+'[1]зміни лютий'!I170</f>
        <v>19040.200999999997</v>
      </c>
      <c r="J171" s="34">
        <f>[1]початковий!J145+'[1]зміни лютий'!J170</f>
        <v>233.8</v>
      </c>
      <c r="K171" s="34">
        <f>[1]початковий!K145+'[1]зміни лютий'!K170</f>
        <v>0</v>
      </c>
      <c r="L171" s="34">
        <f>[1]початковий!L145+'[1]зміни лютий'!L170</f>
        <v>162255.03636</v>
      </c>
      <c r="M171" s="34">
        <f>[1]початковий!M145+'[1]зміни лютий'!M170</f>
        <v>150967.55238000001</v>
      </c>
      <c r="N171" s="34">
        <f>[1]початковий!N145+'[1]зміни лютий'!N170</f>
        <v>144967.55238000001</v>
      </c>
      <c r="O171" s="34">
        <f>[1]початковий!O145+'[1]зміни лютий'!O170</f>
        <v>854892.31735999999</v>
      </c>
    </row>
    <row r="172" spans="1:15" x14ac:dyDescent="0.25">
      <c r="E172" s="34">
        <f>E166-E171</f>
        <v>0</v>
      </c>
      <c r="F172" s="34">
        <f t="shared" ref="F172:O172" si="35">F166-F171</f>
        <v>0</v>
      </c>
      <c r="G172" s="34">
        <f t="shared" si="35"/>
        <v>0</v>
      </c>
      <c r="H172" s="34">
        <f t="shared" si="35"/>
        <v>0</v>
      </c>
      <c r="I172" s="34">
        <f t="shared" si="35"/>
        <v>0</v>
      </c>
      <c r="J172" s="34">
        <f t="shared" si="35"/>
        <v>0</v>
      </c>
      <c r="K172" s="34">
        <f t="shared" si="35"/>
        <v>0</v>
      </c>
      <c r="L172" s="34">
        <f t="shared" si="35"/>
        <v>0</v>
      </c>
      <c r="M172" s="34">
        <f t="shared" si="35"/>
        <v>0</v>
      </c>
      <c r="N172" s="34">
        <f t="shared" si="35"/>
        <v>0</v>
      </c>
      <c r="O172" s="34">
        <f t="shared" si="35"/>
        <v>0</v>
      </c>
    </row>
  </sheetData>
  <mergeCells count="20">
    <mergeCell ref="I7:I9"/>
    <mergeCell ref="J7:K7"/>
    <mergeCell ref="L7:L9"/>
    <mergeCell ref="M7:N7"/>
    <mergeCell ref="A4:O4"/>
    <mergeCell ref="A6:A9"/>
    <mergeCell ref="B6:B9"/>
    <mergeCell ref="C6:C9"/>
    <mergeCell ref="D6:D9"/>
    <mergeCell ref="E6:G6"/>
    <mergeCell ref="H6:N6"/>
    <mergeCell ref="O6:O9"/>
    <mergeCell ref="E7:E9"/>
    <mergeCell ref="F7:G7"/>
    <mergeCell ref="F8:F9"/>
    <mergeCell ref="G8:G9"/>
    <mergeCell ref="J8:J9"/>
    <mergeCell ref="K8:K9"/>
    <mergeCell ref="M8:M9"/>
    <mergeCell ref="H7:H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2"/>
  <sheetViews>
    <sheetView tabSelected="1" view="pageBreakPreview" zoomScale="75" zoomScaleNormal="75" zoomScaleSheetLayoutView="75" workbookViewId="0">
      <pane xSplit="4" ySplit="11" topLeftCell="E161" activePane="bottomRight" state="frozen"/>
      <selection pane="topRight" activeCell="E1" sqref="E1"/>
      <selection pane="bottomLeft" activeCell="A13" sqref="A13"/>
      <selection pane="bottomRight" activeCell="G20" sqref="G20"/>
    </sheetView>
  </sheetViews>
  <sheetFormatPr defaultRowHeight="15" x14ac:dyDescent="0.25"/>
  <cols>
    <col min="1" max="1" width="18" style="6" customWidth="1"/>
    <col min="2" max="2" width="9.140625" style="6"/>
    <col min="3" max="3" width="18.42578125" style="6" customWidth="1"/>
    <col min="4" max="4" width="49.85546875" style="4" customWidth="1"/>
    <col min="5" max="5" width="16.140625" style="4" customWidth="1"/>
    <col min="6" max="6" width="15.85546875" style="4" customWidth="1"/>
    <col min="7" max="7" width="16.42578125" style="4" customWidth="1"/>
    <col min="8" max="8" width="14.7109375" style="4" customWidth="1"/>
    <col min="9" max="9" width="14.85546875" style="4" customWidth="1"/>
    <col min="10" max="10" width="16.7109375" style="4" customWidth="1"/>
    <col min="11" max="11" width="16" style="4" customWidth="1"/>
    <col min="12" max="12" width="16.42578125" style="4" customWidth="1"/>
    <col min="13" max="13" width="14.140625" style="4" customWidth="1"/>
    <col min="14" max="14" width="12.42578125" style="4" customWidth="1"/>
    <col min="15" max="15" width="11.140625" style="4" customWidth="1"/>
    <col min="16" max="16" width="16.85546875" style="4" customWidth="1"/>
    <col min="17" max="17" width="11" style="4" bestFit="1" customWidth="1"/>
    <col min="18" max="18" width="12" style="4" bestFit="1" customWidth="1"/>
    <col min="19" max="16384" width="9.140625" style="4"/>
  </cols>
  <sheetData>
    <row r="1" spans="1:17" ht="18.75" x14ac:dyDescent="0.3">
      <c r="A1" s="103"/>
      <c r="B1" s="1"/>
      <c r="C1" s="1"/>
      <c r="D1" s="2"/>
      <c r="E1" s="3"/>
      <c r="F1" s="3"/>
      <c r="G1" s="3"/>
      <c r="H1" s="3"/>
      <c r="I1" s="3"/>
      <c r="J1" s="3"/>
      <c r="K1" s="3"/>
      <c r="L1" s="3"/>
      <c r="M1" s="3"/>
      <c r="N1" s="5" t="s">
        <v>440</v>
      </c>
    </row>
    <row r="2" spans="1:17" ht="30" customHeight="1" x14ac:dyDescent="0.25">
      <c r="A2" s="104"/>
      <c r="B2" s="1"/>
      <c r="C2" s="1"/>
      <c r="D2" s="2"/>
      <c r="E2" s="3"/>
      <c r="F2" s="3"/>
      <c r="G2" s="3"/>
      <c r="H2" s="3"/>
      <c r="I2" s="3"/>
      <c r="J2" s="3"/>
      <c r="K2" s="5"/>
      <c r="L2" s="3"/>
      <c r="M2" s="3"/>
      <c r="N2" s="142" t="s">
        <v>458</v>
      </c>
      <c r="O2" s="142"/>
      <c r="P2" s="142"/>
    </row>
    <row r="3" spans="1:17" x14ac:dyDescent="0.25">
      <c r="A3" s="104"/>
      <c r="B3" s="1"/>
      <c r="C3" s="1"/>
      <c r="D3" s="2"/>
      <c r="E3" s="3"/>
      <c r="F3" s="3"/>
      <c r="G3" s="3"/>
      <c r="H3" s="3"/>
      <c r="I3" s="3"/>
      <c r="J3" s="3"/>
      <c r="K3" s="5"/>
      <c r="L3" s="3"/>
      <c r="M3" s="3"/>
      <c r="N3" s="5" t="s">
        <v>409</v>
      </c>
    </row>
    <row r="4" spans="1:17" x14ac:dyDescent="0.25">
      <c r="A4" s="104"/>
      <c r="D4" s="2"/>
      <c r="E4" s="3"/>
      <c r="F4" s="3"/>
      <c r="G4" s="3"/>
      <c r="H4" s="3"/>
      <c r="I4" s="3"/>
      <c r="J4" s="3"/>
      <c r="K4" s="5"/>
      <c r="L4" s="3"/>
      <c r="M4" s="3"/>
      <c r="N4" s="33" t="s">
        <v>459</v>
      </c>
    </row>
    <row r="5" spans="1:17" s="120" customFormat="1" ht="17.45" customHeight="1" x14ac:dyDescent="0.25">
      <c r="A5" s="143" t="s">
        <v>439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</row>
    <row r="6" spans="1:17" s="120" customFormat="1" ht="15.75" x14ac:dyDescent="0.25">
      <c r="A6" s="148" t="s">
        <v>450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</row>
    <row r="7" spans="1:17" ht="15" customHeight="1" x14ac:dyDescent="0.25">
      <c r="A7" s="136" t="s">
        <v>410</v>
      </c>
      <c r="B7" s="136" t="s">
        <v>411</v>
      </c>
      <c r="C7" s="139" t="s">
        <v>412</v>
      </c>
      <c r="D7" s="140" t="s">
        <v>413</v>
      </c>
      <c r="E7" s="144" t="s">
        <v>451</v>
      </c>
      <c r="F7" s="147" t="s">
        <v>441</v>
      </c>
      <c r="G7" s="147"/>
      <c r="H7" s="147"/>
      <c r="I7" s="144" t="s">
        <v>452</v>
      </c>
      <c r="J7" s="152" t="s">
        <v>442</v>
      </c>
      <c r="K7" s="153"/>
      <c r="L7" s="154"/>
      <c r="M7" s="150" t="s">
        <v>443</v>
      </c>
      <c r="N7" s="147" t="s">
        <v>444</v>
      </c>
      <c r="O7" s="147"/>
      <c r="P7" s="147"/>
    </row>
    <row r="8" spans="1:17" ht="15" customHeight="1" x14ac:dyDescent="0.25">
      <c r="A8" s="137"/>
      <c r="B8" s="137"/>
      <c r="C8" s="139"/>
      <c r="D8" s="140"/>
      <c r="E8" s="145"/>
      <c r="F8" s="150" t="s">
        <v>445</v>
      </c>
      <c r="G8" s="150" t="s">
        <v>446</v>
      </c>
      <c r="H8" s="150"/>
      <c r="I8" s="145"/>
      <c r="J8" s="144" t="s">
        <v>447</v>
      </c>
      <c r="K8" s="150" t="s">
        <v>446</v>
      </c>
      <c r="L8" s="150"/>
      <c r="M8" s="151"/>
      <c r="N8" s="150" t="s">
        <v>445</v>
      </c>
      <c r="O8" s="150" t="s">
        <v>446</v>
      </c>
      <c r="P8" s="150"/>
    </row>
    <row r="9" spans="1:17" ht="15" customHeight="1" x14ac:dyDescent="0.25">
      <c r="A9" s="137"/>
      <c r="B9" s="137"/>
      <c r="C9" s="139"/>
      <c r="D9" s="140"/>
      <c r="E9" s="145"/>
      <c r="F9" s="151"/>
      <c r="G9" s="149" t="s">
        <v>448</v>
      </c>
      <c r="H9" s="121" t="s">
        <v>449</v>
      </c>
      <c r="I9" s="145"/>
      <c r="J9" s="145"/>
      <c r="K9" s="149" t="s">
        <v>448</v>
      </c>
      <c r="L9" s="121" t="s">
        <v>449</v>
      </c>
      <c r="M9" s="151"/>
      <c r="N9" s="151"/>
      <c r="O9" s="149" t="s">
        <v>448</v>
      </c>
      <c r="P9" s="121" t="s">
        <v>449</v>
      </c>
    </row>
    <row r="10" spans="1:17" ht="83.25" customHeight="1" x14ac:dyDescent="0.25">
      <c r="A10" s="138"/>
      <c r="B10" s="138"/>
      <c r="C10" s="139"/>
      <c r="D10" s="140"/>
      <c r="E10" s="146"/>
      <c r="F10" s="151"/>
      <c r="G10" s="149"/>
      <c r="H10" s="121" t="s">
        <v>9</v>
      </c>
      <c r="I10" s="146"/>
      <c r="J10" s="146"/>
      <c r="K10" s="149"/>
      <c r="L10" s="121" t="s">
        <v>9</v>
      </c>
      <c r="M10" s="151"/>
      <c r="N10" s="151"/>
      <c r="O10" s="149"/>
      <c r="P10" s="121" t="s">
        <v>9</v>
      </c>
    </row>
    <row r="11" spans="1:17" x14ac:dyDescent="0.25">
      <c r="A11" s="10">
        <v>1</v>
      </c>
      <c r="B11" s="10">
        <v>2</v>
      </c>
      <c r="C11" s="10">
        <v>3</v>
      </c>
      <c r="D11" s="117">
        <v>4</v>
      </c>
      <c r="E11" s="118">
        <v>5</v>
      </c>
      <c r="F11" s="118">
        <v>6</v>
      </c>
      <c r="G11" s="118">
        <v>7</v>
      </c>
      <c r="H11" s="118">
        <v>8</v>
      </c>
      <c r="I11" s="118">
        <v>9</v>
      </c>
      <c r="J11" s="118">
        <v>10</v>
      </c>
      <c r="K11" s="118">
        <v>11</v>
      </c>
      <c r="L11" s="118">
        <v>12</v>
      </c>
      <c r="M11" s="118">
        <v>13</v>
      </c>
      <c r="N11" s="118">
        <v>14</v>
      </c>
      <c r="O11" s="118">
        <v>15</v>
      </c>
      <c r="P11" s="118">
        <v>16</v>
      </c>
    </row>
    <row r="12" spans="1:17" s="95" customFormat="1" ht="32.25" x14ac:dyDescent="0.3">
      <c r="A12" s="25" t="s">
        <v>137</v>
      </c>
      <c r="B12" s="25"/>
      <c r="C12" s="25"/>
      <c r="D12" s="26" t="s">
        <v>25</v>
      </c>
      <c r="E12" s="106">
        <f>E13</f>
        <v>191872576</v>
      </c>
      <c r="F12" s="106">
        <f t="shared" ref="F12:L12" si="0">F13</f>
        <v>166190876</v>
      </c>
      <c r="G12" s="106">
        <f t="shared" si="0"/>
        <v>25681700</v>
      </c>
      <c r="H12" s="106">
        <f t="shared" si="0"/>
        <v>16192700</v>
      </c>
      <c r="I12" s="106">
        <f t="shared" si="0"/>
        <v>41378817.370000005</v>
      </c>
      <c r="J12" s="106">
        <f t="shared" si="0"/>
        <v>37863054.800000004</v>
      </c>
      <c r="K12" s="106">
        <f t="shared" si="0"/>
        <v>3515762.5700000003</v>
      </c>
      <c r="L12" s="106">
        <f t="shared" si="0"/>
        <v>353438.94</v>
      </c>
      <c r="M12" s="129">
        <f>I12/E12</f>
        <v>0.21565779869448359</v>
      </c>
      <c r="N12" s="129">
        <f t="shared" ref="N12:O16" si="1">J12/F12</f>
        <v>0.22782872147566033</v>
      </c>
      <c r="O12" s="129">
        <f t="shared" si="1"/>
        <v>0.13689757959948134</v>
      </c>
      <c r="P12" s="129">
        <f>L12/H12</f>
        <v>2.1827054166383617E-2</v>
      </c>
    </row>
    <row r="13" spans="1:17" s="122" customFormat="1" ht="32.25" x14ac:dyDescent="0.3">
      <c r="A13" s="25" t="s">
        <v>138</v>
      </c>
      <c r="B13" s="25"/>
      <c r="C13" s="25"/>
      <c r="D13" s="26" t="s">
        <v>25</v>
      </c>
      <c r="E13" s="107">
        <f>F13+G13</f>
        <v>191872576</v>
      </c>
      <c r="F13" s="107">
        <f>F14+F19+F20+F21+F26+F27+F28+F29+F30+F31+F33+F37+F38+F39+F40+F41+F42+F43</f>
        <v>166190876</v>
      </c>
      <c r="G13" s="107">
        <f t="shared" ref="G13:J13" si="2">G14+G19+G20+G21+G26+G27+G28+G29+G30+G31+G33+G37+G38+G39+G40+G41+G42+G43</f>
        <v>25681700</v>
      </c>
      <c r="H13" s="107">
        <f t="shared" si="2"/>
        <v>16192700</v>
      </c>
      <c r="I13" s="107">
        <f>J13+K13</f>
        <v>41378817.370000005</v>
      </c>
      <c r="J13" s="107">
        <f t="shared" si="2"/>
        <v>37863054.800000004</v>
      </c>
      <c r="K13" s="107">
        <f t="shared" ref="K13" si="3">K14+K19+K20+K21+K26+K27+K28+K29+K30+K31+K33+K37+K38+K39+K40+K41+K42+K43</f>
        <v>3515762.5700000003</v>
      </c>
      <c r="L13" s="107">
        <f t="shared" ref="L13" si="4">L14+L19+L20+L21+L26+L27+L28+L29+L30+L31+L33+L37+L38+L39+L40+L41+L42+L43</f>
        <v>353438.94</v>
      </c>
      <c r="M13" s="129">
        <f>I13/E13</f>
        <v>0.21565779869448359</v>
      </c>
      <c r="N13" s="129">
        <f t="shared" si="1"/>
        <v>0.22782872147566033</v>
      </c>
      <c r="O13" s="129">
        <f t="shared" si="1"/>
        <v>0.13689757959948134</v>
      </c>
      <c r="P13" s="129">
        <f t="shared" ref="P13:P15" si="5">L13/H13</f>
        <v>2.1827054166383617E-2</v>
      </c>
    </row>
    <row r="14" spans="1:17" s="16" customFormat="1" ht="79.5" x14ac:dyDescent="0.3">
      <c r="A14" s="19" t="s">
        <v>139</v>
      </c>
      <c r="B14" s="19" t="s">
        <v>117</v>
      </c>
      <c r="C14" s="19" t="s">
        <v>32</v>
      </c>
      <c r="D14" s="18" t="s">
        <v>118</v>
      </c>
      <c r="E14" s="108">
        <f>F14+G14</f>
        <v>39079900</v>
      </c>
      <c r="F14" s="108">
        <f>F15+F16+F17+F18</f>
        <v>37351400</v>
      </c>
      <c r="G14" s="108">
        <f t="shared" ref="G14:J14" si="6">G15+G16+G17+G18</f>
        <v>1728500</v>
      </c>
      <c r="H14" s="108">
        <f t="shared" si="6"/>
        <v>1565500</v>
      </c>
      <c r="I14" s="108">
        <f>J14+K14</f>
        <v>7974424.0699999994</v>
      </c>
      <c r="J14" s="108">
        <f t="shared" si="6"/>
        <v>7703128.7299999995</v>
      </c>
      <c r="K14" s="108">
        <f t="shared" ref="K14" si="7">K15+K16+K17+K18</f>
        <v>271295.34000000003</v>
      </c>
      <c r="L14" s="108">
        <f t="shared" ref="L14" si="8">L15+L16+L17+L18</f>
        <v>268578.14</v>
      </c>
      <c r="M14" s="130">
        <f>I14/E14</f>
        <v>0.2040543622168941</v>
      </c>
      <c r="N14" s="130">
        <f t="shared" si="1"/>
        <v>0.20623400274153042</v>
      </c>
      <c r="O14" s="130">
        <f t="shared" si="1"/>
        <v>0.15695420306624241</v>
      </c>
      <c r="P14" s="130">
        <f t="shared" si="5"/>
        <v>0.1715606132226126</v>
      </c>
    </row>
    <row r="15" spans="1:17" s="37" customFormat="1" ht="37.5" customHeight="1" x14ac:dyDescent="0.3">
      <c r="A15" s="35"/>
      <c r="B15" s="35"/>
      <c r="C15" s="35"/>
      <c r="D15" s="113" t="s">
        <v>25</v>
      </c>
      <c r="E15" s="109">
        <f>F15+G15</f>
        <v>34732600</v>
      </c>
      <c r="F15" s="109">
        <v>33022100</v>
      </c>
      <c r="G15" s="109">
        <v>1710500</v>
      </c>
      <c r="H15" s="109">
        <v>1565500</v>
      </c>
      <c r="I15" s="109">
        <f>J15+K15</f>
        <v>6921815.2199999997</v>
      </c>
      <c r="J15" s="109">
        <v>6651019.5</v>
      </c>
      <c r="K15" s="109">
        <f>268578.14+2217.58</f>
        <v>270795.72000000003</v>
      </c>
      <c r="L15" s="109">
        <v>268578.14</v>
      </c>
      <c r="M15" s="131">
        <f>I15/E15</f>
        <v>0.19928871492488323</v>
      </c>
      <c r="N15" s="131">
        <f t="shared" si="1"/>
        <v>0.20141116101035367</v>
      </c>
      <c r="O15" s="131">
        <f t="shared" si="1"/>
        <v>0.15831377959660919</v>
      </c>
      <c r="P15" s="131">
        <f t="shared" si="5"/>
        <v>0.1715606132226126</v>
      </c>
      <c r="Q15" s="114"/>
    </row>
    <row r="16" spans="1:17" s="37" customFormat="1" ht="39.75" customHeight="1" x14ac:dyDescent="0.3">
      <c r="A16" s="35"/>
      <c r="B16" s="35"/>
      <c r="C16" s="35"/>
      <c r="D16" s="83" t="s">
        <v>251</v>
      </c>
      <c r="E16" s="109">
        <f t="shared" ref="E16:E82" si="9">F16+G16</f>
        <v>1708100</v>
      </c>
      <c r="F16" s="109">
        <v>1690100</v>
      </c>
      <c r="G16" s="109">
        <v>18000</v>
      </c>
      <c r="H16" s="109"/>
      <c r="I16" s="109">
        <f t="shared" ref="I16:I82" si="10">J16+K16</f>
        <v>433222.86</v>
      </c>
      <c r="J16" s="109">
        <v>432723.24</v>
      </c>
      <c r="K16" s="109">
        <v>499.62</v>
      </c>
      <c r="L16" s="109"/>
      <c r="M16" s="131">
        <f>I16/E16</f>
        <v>0.25362851121128738</v>
      </c>
      <c r="N16" s="131">
        <f t="shared" si="1"/>
        <v>0.25603410449085851</v>
      </c>
      <c r="O16" s="131">
        <f t="shared" si="1"/>
        <v>2.7756666666666666E-2</v>
      </c>
      <c r="P16" s="131"/>
      <c r="Q16" s="114"/>
    </row>
    <row r="17" spans="1:17" s="37" customFormat="1" ht="35.25" customHeight="1" x14ac:dyDescent="0.3">
      <c r="A17" s="35"/>
      <c r="B17" s="35"/>
      <c r="C17" s="35"/>
      <c r="D17" s="115" t="s">
        <v>17</v>
      </c>
      <c r="E17" s="109">
        <f t="shared" si="9"/>
        <v>1202600</v>
      </c>
      <c r="F17" s="109">
        <v>1202600</v>
      </c>
      <c r="G17" s="109"/>
      <c r="H17" s="109"/>
      <c r="I17" s="109">
        <f t="shared" si="10"/>
        <v>293105.09999999998</v>
      </c>
      <c r="J17" s="109">
        <v>293105.09999999998</v>
      </c>
      <c r="K17" s="109"/>
      <c r="L17" s="109"/>
      <c r="M17" s="131">
        <f t="shared" ref="M17:M19" si="11">I17/E17</f>
        <v>0.24372617661732909</v>
      </c>
      <c r="N17" s="131">
        <f t="shared" ref="N17:N19" si="12">J17/F17</f>
        <v>0.24372617661732909</v>
      </c>
      <c r="O17" s="131"/>
      <c r="P17" s="131"/>
      <c r="Q17" s="114"/>
    </row>
    <row r="18" spans="1:17" s="37" customFormat="1" ht="42" customHeight="1" x14ac:dyDescent="0.3">
      <c r="A18" s="35"/>
      <c r="B18" s="35"/>
      <c r="C18" s="35"/>
      <c r="D18" s="115" t="s">
        <v>19</v>
      </c>
      <c r="E18" s="109">
        <f t="shared" si="9"/>
        <v>1436600</v>
      </c>
      <c r="F18" s="109">
        <v>1436600</v>
      </c>
      <c r="G18" s="109"/>
      <c r="H18" s="109"/>
      <c r="I18" s="109">
        <f t="shared" si="10"/>
        <v>326280.89</v>
      </c>
      <c r="J18" s="109">
        <v>326280.89</v>
      </c>
      <c r="K18" s="109"/>
      <c r="L18" s="109"/>
      <c r="M18" s="131">
        <f t="shared" si="11"/>
        <v>0.22712020743421971</v>
      </c>
      <c r="N18" s="131">
        <f t="shared" si="12"/>
        <v>0.22712020743421971</v>
      </c>
      <c r="O18" s="131"/>
      <c r="P18" s="131"/>
      <c r="Q18" s="114"/>
    </row>
    <row r="19" spans="1:17" s="29" customFormat="1" ht="49.5" customHeight="1" x14ac:dyDescent="0.3">
      <c r="A19" s="19" t="s">
        <v>237</v>
      </c>
      <c r="B19" s="19" t="s">
        <v>238</v>
      </c>
      <c r="C19" s="19" t="s">
        <v>239</v>
      </c>
      <c r="D19" s="18" t="s">
        <v>240</v>
      </c>
      <c r="E19" s="108">
        <f t="shared" si="9"/>
        <v>20000</v>
      </c>
      <c r="F19" s="108">
        <v>20000</v>
      </c>
      <c r="G19" s="108"/>
      <c r="H19" s="108"/>
      <c r="I19" s="108">
        <f t="shared" si="10"/>
        <v>1940</v>
      </c>
      <c r="J19" s="108">
        <v>1940</v>
      </c>
      <c r="K19" s="108"/>
      <c r="L19" s="108"/>
      <c r="M19" s="131">
        <f t="shared" si="11"/>
        <v>9.7000000000000003E-2</v>
      </c>
      <c r="N19" s="131">
        <f t="shared" si="12"/>
        <v>9.7000000000000003E-2</v>
      </c>
      <c r="O19" s="130"/>
      <c r="P19" s="130"/>
      <c r="Q19" s="51"/>
    </row>
    <row r="20" spans="1:17" s="29" customFormat="1" ht="31.5" customHeight="1" x14ac:dyDescent="0.3">
      <c r="A20" s="19" t="s">
        <v>247</v>
      </c>
      <c r="B20" s="19" t="s">
        <v>41</v>
      </c>
      <c r="C20" s="19" t="s">
        <v>37</v>
      </c>
      <c r="D20" s="23" t="s">
        <v>248</v>
      </c>
      <c r="E20" s="108">
        <f t="shared" si="9"/>
        <v>2625500</v>
      </c>
      <c r="F20" s="108">
        <v>2625500</v>
      </c>
      <c r="G20" s="108"/>
      <c r="H20" s="108"/>
      <c r="I20" s="108">
        <f t="shared" si="10"/>
        <v>299254.09999999998</v>
      </c>
      <c r="J20" s="108">
        <v>299254.09999999998</v>
      </c>
      <c r="K20" s="108"/>
      <c r="L20" s="108"/>
      <c r="M20" s="130">
        <f>I20/E20</f>
        <v>0.11397985145686534</v>
      </c>
      <c r="N20" s="130">
        <f>J20/F20</f>
        <v>0.11397985145686534</v>
      </c>
      <c r="O20" s="130"/>
      <c r="P20" s="130"/>
      <c r="Q20" s="51"/>
    </row>
    <row r="21" spans="1:17" s="29" customFormat="1" ht="33.75" customHeight="1" x14ac:dyDescent="0.3">
      <c r="A21" s="19" t="s">
        <v>140</v>
      </c>
      <c r="B21" s="19" t="s">
        <v>69</v>
      </c>
      <c r="C21" s="19" t="s">
        <v>70</v>
      </c>
      <c r="D21" s="12" t="s">
        <v>358</v>
      </c>
      <c r="E21" s="108">
        <f t="shared" si="9"/>
        <v>120691076</v>
      </c>
      <c r="F21" s="108">
        <f>101626033+433343</f>
        <v>102059376</v>
      </c>
      <c r="G21" s="108">
        <v>18631700</v>
      </c>
      <c r="H21" s="108">
        <v>13737200</v>
      </c>
      <c r="I21" s="108">
        <f t="shared" si="10"/>
        <v>26180309.710000001</v>
      </c>
      <c r="J21" s="108">
        <v>23580713.140000001</v>
      </c>
      <c r="K21" s="108">
        <f>5860.8+805140.94+1788594.83</f>
        <v>2599596.5700000003</v>
      </c>
      <c r="L21" s="108">
        <v>5860.8</v>
      </c>
      <c r="M21" s="130">
        <f>I21/E21</f>
        <v>0.21692001246223044</v>
      </c>
      <c r="N21" s="130">
        <f t="shared" ref="N21:P21" si="13">J21/F21</f>
        <v>0.23104896447730586</v>
      </c>
      <c r="O21" s="130">
        <f t="shared" si="13"/>
        <v>0.13952546305490107</v>
      </c>
      <c r="P21" s="130">
        <f t="shared" si="13"/>
        <v>4.2663716041114639E-4</v>
      </c>
      <c r="Q21" s="51"/>
    </row>
    <row r="22" spans="1:17" s="37" customFormat="1" ht="20.25" customHeight="1" x14ac:dyDescent="0.3">
      <c r="A22" s="35"/>
      <c r="B22" s="35"/>
      <c r="C22" s="35"/>
      <c r="D22" s="36" t="s">
        <v>418</v>
      </c>
      <c r="E22" s="109">
        <f t="shared" si="9"/>
        <v>53094900</v>
      </c>
      <c r="F22" s="109">
        <v>53094900</v>
      </c>
      <c r="G22" s="109"/>
      <c r="H22" s="109"/>
      <c r="I22" s="109">
        <f t="shared" si="10"/>
        <v>12613326.9</v>
      </c>
      <c r="J22" s="109">
        <v>12613326.9</v>
      </c>
      <c r="K22" s="109"/>
      <c r="L22" s="109"/>
      <c r="M22" s="131">
        <f>I22/E22</f>
        <v>0.23756192967686163</v>
      </c>
      <c r="N22" s="131">
        <f>J22/F22</f>
        <v>0.23756192967686163</v>
      </c>
      <c r="O22" s="131"/>
      <c r="P22" s="131"/>
    </row>
    <row r="23" spans="1:17" s="37" customFormat="1" ht="94.5" x14ac:dyDescent="0.3">
      <c r="A23" s="35"/>
      <c r="B23" s="35"/>
      <c r="C23" s="35"/>
      <c r="D23" s="125" t="s">
        <v>403</v>
      </c>
      <c r="E23" s="109">
        <f t="shared" si="9"/>
        <v>389894</v>
      </c>
      <c r="F23" s="109">
        <v>389894</v>
      </c>
      <c r="G23" s="109"/>
      <c r="H23" s="109"/>
      <c r="I23" s="109">
        <f t="shared" si="10"/>
        <v>0</v>
      </c>
      <c r="J23" s="109">
        <v>0</v>
      </c>
      <c r="K23" s="109"/>
      <c r="L23" s="109"/>
      <c r="M23" s="131">
        <f t="shared" ref="M23:M25" si="14">I23/E23</f>
        <v>0</v>
      </c>
      <c r="N23" s="131">
        <f t="shared" ref="N23:N26" si="15">J23/F23</f>
        <v>0</v>
      </c>
      <c r="O23" s="131"/>
      <c r="P23" s="131"/>
    </row>
    <row r="24" spans="1:17" s="37" customFormat="1" ht="78.75" x14ac:dyDescent="0.3">
      <c r="A24" s="35"/>
      <c r="B24" s="35"/>
      <c r="C24" s="35"/>
      <c r="D24" s="125" t="s">
        <v>404</v>
      </c>
      <c r="E24" s="109">
        <f t="shared" si="9"/>
        <v>3243839</v>
      </c>
      <c r="F24" s="109">
        <v>3243839</v>
      </c>
      <c r="G24" s="109"/>
      <c r="H24" s="109"/>
      <c r="I24" s="109">
        <f t="shared" si="10"/>
        <v>811040</v>
      </c>
      <c r="J24" s="109">
        <v>811040</v>
      </c>
      <c r="K24" s="109"/>
      <c r="L24" s="109"/>
      <c r="M24" s="131">
        <f t="shared" si="14"/>
        <v>0.25002473920561408</v>
      </c>
      <c r="N24" s="131">
        <f t="shared" si="15"/>
        <v>0.25002473920561408</v>
      </c>
      <c r="O24" s="131"/>
      <c r="P24" s="131"/>
    </row>
    <row r="25" spans="1:17" s="37" customFormat="1" ht="47.25" x14ac:dyDescent="0.3">
      <c r="A25" s="35"/>
      <c r="B25" s="35"/>
      <c r="C25" s="35"/>
      <c r="D25" s="125" t="s">
        <v>455</v>
      </c>
      <c r="E25" s="109">
        <f t="shared" si="9"/>
        <v>433343</v>
      </c>
      <c r="F25" s="109">
        <v>433343</v>
      </c>
      <c r="G25" s="109"/>
      <c r="H25" s="109"/>
      <c r="I25" s="109">
        <f t="shared" si="10"/>
        <v>0</v>
      </c>
      <c r="J25" s="109">
        <v>0</v>
      </c>
      <c r="K25" s="109"/>
      <c r="L25" s="109"/>
      <c r="M25" s="131">
        <f t="shared" si="14"/>
        <v>0</v>
      </c>
      <c r="N25" s="131">
        <f t="shared" si="15"/>
        <v>0</v>
      </c>
      <c r="O25" s="131"/>
      <c r="P25" s="131"/>
    </row>
    <row r="26" spans="1:17" s="29" customFormat="1" ht="18.75" x14ac:dyDescent="0.3">
      <c r="A26" s="19" t="s">
        <v>141</v>
      </c>
      <c r="B26" s="19" t="s">
        <v>119</v>
      </c>
      <c r="C26" s="19" t="s">
        <v>71</v>
      </c>
      <c r="D26" s="12" t="s">
        <v>120</v>
      </c>
      <c r="E26" s="108">
        <f t="shared" si="9"/>
        <v>15016700</v>
      </c>
      <c r="F26" s="108">
        <v>10938200</v>
      </c>
      <c r="G26" s="108">
        <v>4078500</v>
      </c>
      <c r="H26" s="108">
        <v>550000</v>
      </c>
      <c r="I26" s="108">
        <f t="shared" si="10"/>
        <v>3038255.37</v>
      </c>
      <c r="J26" s="108">
        <v>2401384.71</v>
      </c>
      <c r="K26" s="108">
        <f>79000+544166.65+13704.01</f>
        <v>636870.66</v>
      </c>
      <c r="L26" s="108">
        <v>79000</v>
      </c>
      <c r="M26" s="130">
        <f>I26/E26</f>
        <v>0.20232510271897289</v>
      </c>
      <c r="N26" s="130">
        <f t="shared" si="15"/>
        <v>0.21954112285385163</v>
      </c>
      <c r="O26" s="130">
        <f t="shared" ref="O26:P26" si="16">K26/G26</f>
        <v>0.15615315924972417</v>
      </c>
      <c r="P26" s="130">
        <f t="shared" si="16"/>
        <v>0.14363636363636365</v>
      </c>
      <c r="Q26" s="51"/>
    </row>
    <row r="27" spans="1:17" s="29" customFormat="1" ht="32.25" x14ac:dyDescent="0.3">
      <c r="A27" s="19" t="s">
        <v>281</v>
      </c>
      <c r="B27" s="19" t="s">
        <v>276</v>
      </c>
      <c r="C27" s="19" t="s">
        <v>277</v>
      </c>
      <c r="D27" s="12" t="s">
        <v>278</v>
      </c>
      <c r="E27" s="108">
        <f t="shared" si="9"/>
        <v>1570400</v>
      </c>
      <c r="F27" s="108">
        <v>1570400</v>
      </c>
      <c r="G27" s="108"/>
      <c r="H27" s="108"/>
      <c r="I27" s="108">
        <f t="shared" si="10"/>
        <v>369444.42</v>
      </c>
      <c r="J27" s="108">
        <v>369444.42</v>
      </c>
      <c r="K27" s="108"/>
      <c r="L27" s="108"/>
      <c r="M27" s="130">
        <f>I27/E27</f>
        <v>0.23525497962302597</v>
      </c>
      <c r="N27" s="130">
        <f>J27/F27</f>
        <v>0.23525497962302597</v>
      </c>
      <c r="O27" s="130"/>
      <c r="P27" s="130"/>
      <c r="Q27" s="51"/>
    </row>
    <row r="28" spans="1:17" s="29" customFormat="1" ht="32.25" x14ac:dyDescent="0.3">
      <c r="A28" s="19" t="s">
        <v>282</v>
      </c>
      <c r="B28" s="19" t="s">
        <v>279</v>
      </c>
      <c r="C28" s="19" t="s">
        <v>277</v>
      </c>
      <c r="D28" s="12" t="s">
        <v>280</v>
      </c>
      <c r="E28" s="108">
        <f t="shared" si="9"/>
        <v>364200</v>
      </c>
      <c r="F28" s="108">
        <v>364200</v>
      </c>
      <c r="G28" s="108"/>
      <c r="H28" s="108"/>
      <c r="I28" s="108">
        <f t="shared" si="10"/>
        <v>364200</v>
      </c>
      <c r="J28" s="108">
        <v>364200</v>
      </c>
      <c r="K28" s="108"/>
      <c r="L28" s="108"/>
      <c r="M28" s="130">
        <f t="shared" ref="M28:M33" si="17">I28/E28</f>
        <v>1</v>
      </c>
      <c r="N28" s="130">
        <f t="shared" ref="N28:N34" si="18">J28/F28</f>
        <v>1</v>
      </c>
      <c r="O28" s="130"/>
      <c r="P28" s="130"/>
      <c r="Q28" s="51"/>
    </row>
    <row r="29" spans="1:17" s="15" customFormat="1" ht="32.25" x14ac:dyDescent="0.3">
      <c r="A29" s="19" t="s">
        <v>406</v>
      </c>
      <c r="B29" s="19" t="s">
        <v>93</v>
      </c>
      <c r="C29" s="19" t="s">
        <v>54</v>
      </c>
      <c r="D29" s="12" t="s">
        <v>103</v>
      </c>
      <c r="E29" s="108">
        <f t="shared" si="9"/>
        <v>33100</v>
      </c>
      <c r="F29" s="108">
        <v>33100</v>
      </c>
      <c r="G29" s="108"/>
      <c r="H29" s="108"/>
      <c r="I29" s="108">
        <f t="shared" si="10"/>
        <v>1000</v>
      </c>
      <c r="J29" s="108">
        <v>1000</v>
      </c>
      <c r="K29" s="108"/>
      <c r="L29" s="108"/>
      <c r="M29" s="130">
        <f t="shared" si="17"/>
        <v>3.0211480362537766E-2</v>
      </c>
      <c r="N29" s="130">
        <f t="shared" si="18"/>
        <v>3.0211480362537766E-2</v>
      </c>
      <c r="O29" s="130"/>
      <c r="P29" s="130"/>
    </row>
    <row r="30" spans="1:17" ht="86.25" customHeight="1" x14ac:dyDescent="0.3">
      <c r="A30" s="19" t="s">
        <v>407</v>
      </c>
      <c r="B30" s="19" t="s">
        <v>61</v>
      </c>
      <c r="C30" s="19" t="s">
        <v>54</v>
      </c>
      <c r="D30" s="11" t="s">
        <v>55</v>
      </c>
      <c r="E30" s="108">
        <f t="shared" si="9"/>
        <v>170000</v>
      </c>
      <c r="F30" s="108">
        <v>170000</v>
      </c>
      <c r="G30" s="108"/>
      <c r="H30" s="108"/>
      <c r="I30" s="108">
        <f t="shared" si="10"/>
        <v>0</v>
      </c>
      <c r="J30" s="108">
        <v>0</v>
      </c>
      <c r="K30" s="108"/>
      <c r="L30" s="108"/>
      <c r="M30" s="130">
        <f t="shared" si="17"/>
        <v>0</v>
      </c>
      <c r="N30" s="130">
        <f t="shared" si="18"/>
        <v>0</v>
      </c>
      <c r="O30" s="130"/>
      <c r="P30" s="130"/>
    </row>
    <row r="31" spans="1:17" s="29" customFormat="1" ht="39.75" customHeight="1" x14ac:dyDescent="0.3">
      <c r="A31" s="19" t="s">
        <v>320</v>
      </c>
      <c r="B31" s="19" t="s">
        <v>318</v>
      </c>
      <c r="C31" s="19" t="s">
        <v>33</v>
      </c>
      <c r="D31" s="18" t="s">
        <v>319</v>
      </c>
      <c r="E31" s="108">
        <f t="shared" si="9"/>
        <v>2954400</v>
      </c>
      <c r="F31" s="108">
        <v>2954400</v>
      </c>
      <c r="G31" s="108"/>
      <c r="H31" s="108"/>
      <c r="I31" s="108">
        <f t="shared" si="10"/>
        <v>1049500</v>
      </c>
      <c r="J31" s="108">
        <v>1049500</v>
      </c>
      <c r="K31" s="108"/>
      <c r="L31" s="108"/>
      <c r="M31" s="130">
        <f t="shared" si="17"/>
        <v>0.35523287300297862</v>
      </c>
      <c r="N31" s="130">
        <f t="shared" si="18"/>
        <v>0.35523287300297862</v>
      </c>
      <c r="O31" s="130"/>
      <c r="P31" s="130"/>
    </row>
    <row r="32" spans="1:17" s="29" customFormat="1" ht="32.25" hidden="1" x14ac:dyDescent="0.3">
      <c r="A32" s="19" t="s">
        <v>343</v>
      </c>
      <c r="B32" s="19" t="s">
        <v>263</v>
      </c>
      <c r="C32" s="19" t="s">
        <v>265</v>
      </c>
      <c r="D32" s="18" t="s">
        <v>266</v>
      </c>
      <c r="E32" s="108">
        <f t="shared" si="9"/>
        <v>0</v>
      </c>
      <c r="F32" s="108"/>
      <c r="G32" s="108"/>
      <c r="H32" s="108"/>
      <c r="I32" s="108">
        <f t="shared" si="10"/>
        <v>0</v>
      </c>
      <c r="J32" s="108"/>
      <c r="K32" s="108"/>
      <c r="L32" s="108"/>
      <c r="M32" s="130" t="e">
        <f t="shared" si="17"/>
        <v>#DIV/0!</v>
      </c>
      <c r="N32" s="130" t="e">
        <f t="shared" si="18"/>
        <v>#DIV/0!</v>
      </c>
      <c r="O32" s="130" t="e">
        <f t="shared" ref="O32:O68" si="19">K32/G32*100</f>
        <v>#DIV/0!</v>
      </c>
      <c r="P32" s="130" t="e">
        <f t="shared" ref="P32:P68" si="20">L32/H32*100</f>
        <v>#DIV/0!</v>
      </c>
    </row>
    <row r="33" spans="1:18" s="29" customFormat="1" ht="32.25" customHeight="1" x14ac:dyDescent="0.3">
      <c r="A33" s="19" t="s">
        <v>142</v>
      </c>
      <c r="B33" s="19" t="s">
        <v>99</v>
      </c>
      <c r="C33" s="19" t="s">
        <v>40</v>
      </c>
      <c r="D33" s="18" t="s">
        <v>121</v>
      </c>
      <c r="E33" s="108">
        <f t="shared" si="9"/>
        <v>4597700</v>
      </c>
      <c r="F33" s="108">
        <f>F34+F35+F36</f>
        <v>4457700</v>
      </c>
      <c r="G33" s="108">
        <f t="shared" ref="G33:J33" si="21">G34+G35+G36</f>
        <v>140000</v>
      </c>
      <c r="H33" s="108">
        <f t="shared" si="21"/>
        <v>140000</v>
      </c>
      <c r="I33" s="108">
        <f t="shared" si="10"/>
        <v>1118362.49</v>
      </c>
      <c r="J33" s="108">
        <f t="shared" si="21"/>
        <v>1118362.49</v>
      </c>
      <c r="K33" s="108">
        <f t="shared" ref="K33" si="22">K34+K35+K36</f>
        <v>0</v>
      </c>
      <c r="L33" s="108">
        <f t="shared" ref="L33" si="23">L34+L35+L36</f>
        <v>0</v>
      </c>
      <c r="M33" s="130">
        <f t="shared" si="17"/>
        <v>0.2432439023859756</v>
      </c>
      <c r="N33" s="130">
        <f t="shared" si="18"/>
        <v>0.25088330080534804</v>
      </c>
      <c r="O33" s="130">
        <f t="shared" ref="O33" si="24">K33/G33</f>
        <v>0</v>
      </c>
      <c r="P33" s="130">
        <f t="shared" ref="P33" si="25">L33/H33</f>
        <v>0</v>
      </c>
    </row>
    <row r="34" spans="1:18" s="37" customFormat="1" ht="32.25" customHeight="1" x14ac:dyDescent="0.3">
      <c r="A34" s="35"/>
      <c r="B34" s="35"/>
      <c r="C34" s="35"/>
      <c r="D34" s="115" t="s">
        <v>251</v>
      </c>
      <c r="E34" s="109">
        <f t="shared" si="9"/>
        <v>2077000</v>
      </c>
      <c r="F34" s="109">
        <v>1937000</v>
      </c>
      <c r="G34" s="109">
        <v>140000</v>
      </c>
      <c r="H34" s="109">
        <v>140000</v>
      </c>
      <c r="I34" s="109">
        <f t="shared" si="10"/>
        <v>684637.8</v>
      </c>
      <c r="J34" s="109">
        <v>684637.8</v>
      </c>
      <c r="K34" s="109"/>
      <c r="L34" s="109"/>
      <c r="M34" s="131">
        <f>I34/E34</f>
        <v>0.3296282137698604</v>
      </c>
      <c r="N34" s="131">
        <f t="shared" si="18"/>
        <v>0.35345265875064535</v>
      </c>
      <c r="O34" s="131">
        <f t="shared" ref="O34:P34" si="26">K34/G34</f>
        <v>0</v>
      </c>
      <c r="P34" s="131">
        <f t="shared" si="26"/>
        <v>0</v>
      </c>
    </row>
    <row r="35" spans="1:18" s="37" customFormat="1" ht="32.25" customHeight="1" x14ac:dyDescent="0.3">
      <c r="A35" s="35"/>
      <c r="B35" s="35"/>
      <c r="C35" s="35"/>
      <c r="D35" s="115" t="s">
        <v>17</v>
      </c>
      <c r="E35" s="109">
        <f t="shared" si="9"/>
        <v>504700</v>
      </c>
      <c r="F35" s="109">
        <v>504700</v>
      </c>
      <c r="G35" s="109"/>
      <c r="H35" s="109"/>
      <c r="I35" s="109">
        <f t="shared" si="10"/>
        <v>109610.2</v>
      </c>
      <c r="J35" s="109">
        <v>109610.2</v>
      </c>
      <c r="K35" s="109"/>
      <c r="L35" s="109"/>
      <c r="M35" s="131">
        <f t="shared" ref="M35:M36" si="27">I35/E35</f>
        <v>0.21717891816920942</v>
      </c>
      <c r="N35" s="131">
        <f t="shared" ref="N35:N36" si="28">J35/F35</f>
        <v>0.21717891816920942</v>
      </c>
      <c r="O35" s="131"/>
      <c r="P35" s="131"/>
    </row>
    <row r="36" spans="1:18" s="37" customFormat="1" ht="32.25" customHeight="1" x14ac:dyDescent="0.3">
      <c r="A36" s="35"/>
      <c r="B36" s="35"/>
      <c r="C36" s="35"/>
      <c r="D36" s="115" t="s">
        <v>19</v>
      </c>
      <c r="E36" s="109">
        <f t="shared" si="9"/>
        <v>2016000</v>
      </c>
      <c r="F36" s="109">
        <v>2016000</v>
      </c>
      <c r="G36" s="109"/>
      <c r="H36" s="109"/>
      <c r="I36" s="109">
        <f t="shared" si="10"/>
        <v>324114.49</v>
      </c>
      <c r="J36" s="109">
        <v>324114.49</v>
      </c>
      <c r="K36" s="109"/>
      <c r="L36" s="109"/>
      <c r="M36" s="131">
        <f t="shared" si="27"/>
        <v>0.16077107638888888</v>
      </c>
      <c r="N36" s="131">
        <f t="shared" si="28"/>
        <v>0.16077107638888888</v>
      </c>
      <c r="O36" s="131"/>
      <c r="P36" s="131"/>
    </row>
    <row r="37" spans="1:18" s="29" customFormat="1" ht="32.25" x14ac:dyDescent="0.3">
      <c r="A37" s="19" t="s">
        <v>245</v>
      </c>
      <c r="B37" s="19" t="s">
        <v>244</v>
      </c>
      <c r="C37" s="19" t="s">
        <v>35</v>
      </c>
      <c r="D37" s="18" t="s">
        <v>246</v>
      </c>
      <c r="E37" s="108">
        <f t="shared" si="9"/>
        <v>300000</v>
      </c>
      <c r="F37" s="108">
        <v>300000</v>
      </c>
      <c r="G37" s="108"/>
      <c r="H37" s="108"/>
      <c r="I37" s="108">
        <f t="shared" si="10"/>
        <v>0</v>
      </c>
      <c r="J37" s="108">
        <v>0</v>
      </c>
      <c r="K37" s="108"/>
      <c r="L37" s="108"/>
      <c r="M37" s="130">
        <f>I37/E37</f>
        <v>0</v>
      </c>
      <c r="N37" s="130">
        <f>J37/F37</f>
        <v>0</v>
      </c>
      <c r="O37" s="130"/>
      <c r="P37" s="130"/>
    </row>
    <row r="38" spans="1:18" s="29" customFormat="1" ht="18.75" x14ac:dyDescent="0.3">
      <c r="A38" s="19" t="s">
        <v>197</v>
      </c>
      <c r="B38" s="19" t="s">
        <v>196</v>
      </c>
      <c r="C38" s="19" t="s">
        <v>38</v>
      </c>
      <c r="D38" s="12" t="s">
        <v>39</v>
      </c>
      <c r="E38" s="108">
        <f t="shared" si="9"/>
        <v>600000</v>
      </c>
      <c r="F38" s="108">
        <v>600000</v>
      </c>
      <c r="G38" s="108"/>
      <c r="H38" s="108"/>
      <c r="I38" s="108">
        <f t="shared" si="10"/>
        <v>2520.9299999999998</v>
      </c>
      <c r="J38" s="108">
        <v>2520.9299999999998</v>
      </c>
      <c r="K38" s="108"/>
      <c r="L38" s="108"/>
      <c r="M38" s="130">
        <f t="shared" ref="M38:M42" si="29">I38/E38</f>
        <v>4.2015500000000001E-3</v>
      </c>
      <c r="N38" s="130">
        <f t="shared" ref="N38:N42" si="30">J38/F38</f>
        <v>4.2015500000000001E-3</v>
      </c>
      <c r="O38" s="130"/>
      <c r="P38" s="130"/>
    </row>
    <row r="39" spans="1:18" s="29" customFormat="1" ht="32.25" x14ac:dyDescent="0.3">
      <c r="A39" s="19" t="s">
        <v>242</v>
      </c>
      <c r="B39" s="19" t="s">
        <v>241</v>
      </c>
      <c r="C39" s="19" t="s">
        <v>58</v>
      </c>
      <c r="D39" s="12" t="s">
        <v>243</v>
      </c>
      <c r="E39" s="108">
        <f t="shared" si="9"/>
        <v>36200</v>
      </c>
      <c r="F39" s="108">
        <v>36200</v>
      </c>
      <c r="G39" s="108"/>
      <c r="H39" s="108"/>
      <c r="I39" s="108">
        <f t="shared" si="10"/>
        <v>36169</v>
      </c>
      <c r="J39" s="108">
        <v>36169</v>
      </c>
      <c r="K39" s="108"/>
      <c r="L39" s="108"/>
      <c r="M39" s="130">
        <f t="shared" si="29"/>
        <v>0.99914364640883979</v>
      </c>
      <c r="N39" s="130">
        <f t="shared" si="30"/>
        <v>0.99914364640883979</v>
      </c>
      <c r="O39" s="130"/>
      <c r="P39" s="130"/>
    </row>
    <row r="40" spans="1:18" s="29" customFormat="1" ht="37.5" customHeight="1" x14ac:dyDescent="0.3">
      <c r="A40" s="19" t="s">
        <v>297</v>
      </c>
      <c r="B40" s="19" t="s">
        <v>296</v>
      </c>
      <c r="C40" s="19" t="s">
        <v>58</v>
      </c>
      <c r="D40" s="18" t="s">
        <v>298</v>
      </c>
      <c r="E40" s="108">
        <f t="shared" si="9"/>
        <v>2500000</v>
      </c>
      <c r="F40" s="108">
        <v>2300000</v>
      </c>
      <c r="G40" s="108">
        <v>200000</v>
      </c>
      <c r="H40" s="108">
        <v>200000</v>
      </c>
      <c r="I40" s="108">
        <f t="shared" si="10"/>
        <v>832004.45</v>
      </c>
      <c r="J40" s="108">
        <v>832004.45</v>
      </c>
      <c r="K40" s="108">
        <v>0</v>
      </c>
      <c r="L40" s="108"/>
      <c r="M40" s="130">
        <f t="shared" si="29"/>
        <v>0.33280177999999999</v>
      </c>
      <c r="N40" s="130">
        <f t="shared" si="30"/>
        <v>0.3617410652173913</v>
      </c>
      <c r="O40" s="130">
        <f t="shared" ref="O40" si="31">K40/G40</f>
        <v>0</v>
      </c>
      <c r="P40" s="130">
        <f t="shared" ref="P40" si="32">L40/H40</f>
        <v>0</v>
      </c>
    </row>
    <row r="41" spans="1:18" s="29" customFormat="1" ht="57" customHeight="1" x14ac:dyDescent="0.3">
      <c r="A41" s="19" t="s">
        <v>195</v>
      </c>
      <c r="B41" s="19" t="s">
        <v>194</v>
      </c>
      <c r="C41" s="19" t="s">
        <v>36</v>
      </c>
      <c r="D41" s="12" t="s">
        <v>299</v>
      </c>
      <c r="E41" s="108">
        <f t="shared" si="9"/>
        <v>254300</v>
      </c>
      <c r="F41" s="108">
        <v>254300</v>
      </c>
      <c r="G41" s="108"/>
      <c r="H41" s="108"/>
      <c r="I41" s="108">
        <f t="shared" si="10"/>
        <v>60959.65</v>
      </c>
      <c r="J41" s="108">
        <v>60959.65</v>
      </c>
      <c r="K41" s="108"/>
      <c r="L41" s="108"/>
      <c r="M41" s="130">
        <f t="shared" si="29"/>
        <v>0.23971549351160049</v>
      </c>
      <c r="N41" s="130">
        <f t="shared" si="30"/>
        <v>0.23971549351160049</v>
      </c>
      <c r="O41" s="130"/>
      <c r="P41" s="130"/>
    </row>
    <row r="42" spans="1:18" s="29" customFormat="1" ht="32.25" x14ac:dyDescent="0.3">
      <c r="A42" s="19" t="s">
        <v>397</v>
      </c>
      <c r="B42" s="19" t="s">
        <v>398</v>
      </c>
      <c r="C42" s="19" t="s">
        <v>399</v>
      </c>
      <c r="D42" s="12" t="s">
        <v>405</v>
      </c>
      <c r="E42" s="108">
        <f t="shared" si="9"/>
        <v>156100</v>
      </c>
      <c r="F42" s="108">
        <v>156100</v>
      </c>
      <c r="G42" s="108"/>
      <c r="H42" s="108"/>
      <c r="I42" s="108">
        <f t="shared" si="10"/>
        <v>42473.18</v>
      </c>
      <c r="J42" s="108">
        <v>42473.18</v>
      </c>
      <c r="K42" s="108"/>
      <c r="L42" s="108"/>
      <c r="M42" s="130">
        <f t="shared" si="29"/>
        <v>0.27208955797565665</v>
      </c>
      <c r="N42" s="130">
        <f t="shared" si="30"/>
        <v>0.27208955797565665</v>
      </c>
      <c r="O42" s="130"/>
      <c r="P42" s="130"/>
    </row>
    <row r="43" spans="1:18" s="29" customFormat="1" ht="32.25" x14ac:dyDescent="0.3">
      <c r="A43" s="19" t="s">
        <v>275</v>
      </c>
      <c r="B43" s="19" t="s">
        <v>274</v>
      </c>
      <c r="C43" s="19" t="s">
        <v>101</v>
      </c>
      <c r="D43" s="18" t="s">
        <v>295</v>
      </c>
      <c r="E43" s="108">
        <f t="shared" si="9"/>
        <v>903000</v>
      </c>
      <c r="F43" s="108"/>
      <c r="G43" s="108">
        <v>903000</v>
      </c>
      <c r="H43" s="108"/>
      <c r="I43" s="108">
        <f t="shared" si="10"/>
        <v>8000</v>
      </c>
      <c r="J43" s="108"/>
      <c r="K43" s="108">
        <v>8000</v>
      </c>
      <c r="L43" s="108"/>
      <c r="M43" s="130">
        <f>I43/E43</f>
        <v>8.8593576965669985E-3</v>
      </c>
      <c r="N43" s="130"/>
      <c r="O43" s="130">
        <f>K43/G43</f>
        <v>8.8593576965669985E-3</v>
      </c>
      <c r="P43" s="130"/>
    </row>
    <row r="44" spans="1:18" s="30" customFormat="1" ht="32.25" x14ac:dyDescent="0.3">
      <c r="A44" s="25" t="s">
        <v>122</v>
      </c>
      <c r="B44" s="25"/>
      <c r="C44" s="25"/>
      <c r="D44" s="26" t="s">
        <v>14</v>
      </c>
      <c r="E44" s="107">
        <f>E45</f>
        <v>305978201</v>
      </c>
      <c r="F44" s="107">
        <f t="shared" ref="F44:L44" si="33">F45</f>
        <v>267524900</v>
      </c>
      <c r="G44" s="107">
        <f t="shared" si="33"/>
        <v>38453301</v>
      </c>
      <c r="H44" s="107">
        <f t="shared" si="33"/>
        <v>26961600</v>
      </c>
      <c r="I44" s="107">
        <f t="shared" si="33"/>
        <v>61915765.230000004</v>
      </c>
      <c r="J44" s="107">
        <f t="shared" si="33"/>
        <v>59376051.200000003</v>
      </c>
      <c r="K44" s="107">
        <f t="shared" si="33"/>
        <v>2539714.0300000003</v>
      </c>
      <c r="L44" s="107">
        <f t="shared" si="33"/>
        <v>6086.77</v>
      </c>
      <c r="M44" s="129">
        <f>I44/E44</f>
        <v>0.20235351743243959</v>
      </c>
      <c r="N44" s="129">
        <f t="shared" ref="N44:P44" si="34">J44/F44</f>
        <v>0.22194588690622818</v>
      </c>
      <c r="O44" s="129">
        <f t="shared" si="34"/>
        <v>6.6046710268124975E-2</v>
      </c>
      <c r="P44" s="129">
        <f t="shared" si="34"/>
        <v>2.2575700255177735E-4</v>
      </c>
    </row>
    <row r="45" spans="1:18" s="30" customFormat="1" ht="32.25" x14ac:dyDescent="0.3">
      <c r="A45" s="25" t="s">
        <v>123</v>
      </c>
      <c r="B45" s="25"/>
      <c r="C45" s="25"/>
      <c r="D45" s="26" t="s">
        <v>14</v>
      </c>
      <c r="E45" s="107">
        <f t="shared" si="9"/>
        <v>305978201</v>
      </c>
      <c r="F45" s="107">
        <f>F46+F47+F48+F53+F55+F59+F60+F61+F62+F64+F65+F66+F67</f>
        <v>267524900</v>
      </c>
      <c r="G45" s="107">
        <f t="shared" ref="G45:J45" si="35">G46+G47+G48+G53+G55+G59+G60+G61+G62+G64+G65+G66+G67</f>
        <v>38453301</v>
      </c>
      <c r="H45" s="107">
        <f t="shared" si="35"/>
        <v>26961600</v>
      </c>
      <c r="I45" s="107">
        <f t="shared" si="10"/>
        <v>61915765.230000004</v>
      </c>
      <c r="J45" s="107">
        <f t="shared" si="35"/>
        <v>59376051.200000003</v>
      </c>
      <c r="K45" s="107">
        <f t="shared" ref="K45" si="36">K46+K47+K48+K53+K55+K59+K60+K61+K62+K64+K65+K66+K67</f>
        <v>2539714.0300000003</v>
      </c>
      <c r="L45" s="107">
        <f t="shared" ref="L45" si="37">L46+L47+L48+L53+L55+L59+L60+L61+L62+L64+L65+L66+L67</f>
        <v>6086.77</v>
      </c>
      <c r="M45" s="129">
        <f>I45/E45</f>
        <v>0.20235351743243959</v>
      </c>
      <c r="N45" s="129">
        <f t="shared" ref="N45" si="38">J45/F45</f>
        <v>0.22194588690622818</v>
      </c>
      <c r="O45" s="129">
        <f t="shared" ref="O45" si="39">K45/G45</f>
        <v>6.6046710268124975E-2</v>
      </c>
      <c r="P45" s="129">
        <f t="shared" ref="P45" si="40">L45/H45</f>
        <v>2.2575700255177735E-4</v>
      </c>
    </row>
    <row r="46" spans="1:18" s="29" customFormat="1" ht="48" x14ac:dyDescent="0.3">
      <c r="A46" s="19" t="s">
        <v>125</v>
      </c>
      <c r="B46" s="19" t="s">
        <v>124</v>
      </c>
      <c r="C46" s="19" t="s">
        <v>32</v>
      </c>
      <c r="D46" s="27" t="s">
        <v>126</v>
      </c>
      <c r="E46" s="108">
        <f t="shared" si="9"/>
        <v>1998800</v>
      </c>
      <c r="F46" s="108">
        <v>1998800</v>
      </c>
      <c r="G46" s="108"/>
      <c r="H46" s="108"/>
      <c r="I46" s="108">
        <f t="shared" si="10"/>
        <v>373293.11</v>
      </c>
      <c r="J46" s="108">
        <v>373293.11</v>
      </c>
      <c r="K46" s="108"/>
      <c r="L46" s="108"/>
      <c r="M46" s="130">
        <f>I46/E46</f>
        <v>0.18675861016609965</v>
      </c>
      <c r="N46" s="130">
        <f>J46/F46</f>
        <v>0.18675861016609965</v>
      </c>
      <c r="O46" s="130"/>
      <c r="P46" s="130"/>
    </row>
    <row r="47" spans="1:18" s="29" customFormat="1" ht="18.75" x14ac:dyDescent="0.3">
      <c r="A47" s="19" t="s">
        <v>127</v>
      </c>
      <c r="B47" s="19" t="s">
        <v>42</v>
      </c>
      <c r="C47" s="19" t="s">
        <v>43</v>
      </c>
      <c r="D47" s="12" t="s">
        <v>128</v>
      </c>
      <c r="E47" s="108">
        <f t="shared" si="9"/>
        <v>103365000</v>
      </c>
      <c r="F47" s="110">
        <v>87624700</v>
      </c>
      <c r="G47" s="110">
        <v>15740300</v>
      </c>
      <c r="H47" s="110">
        <v>5000000</v>
      </c>
      <c r="I47" s="108">
        <f t="shared" si="10"/>
        <v>21186499.289999999</v>
      </c>
      <c r="J47" s="108">
        <v>19648692.41</v>
      </c>
      <c r="K47" s="110">
        <f>6086.77+1467841.11+63879</f>
        <v>1537806.8800000001</v>
      </c>
      <c r="L47" s="110">
        <v>6086.77</v>
      </c>
      <c r="M47" s="130">
        <f t="shared" ref="M47:M48" si="41">I47/E47</f>
        <v>0.20496782556958351</v>
      </c>
      <c r="N47" s="130">
        <f t="shared" ref="N47:N48" si="42">J47/F47</f>
        <v>0.22423691504792598</v>
      </c>
      <c r="O47" s="130">
        <f>K47/G47</f>
        <v>9.7698702057775269E-2</v>
      </c>
      <c r="P47" s="130">
        <f>L47/H47</f>
        <v>1.2173540000000001E-3</v>
      </c>
    </row>
    <row r="48" spans="1:18" s="29" customFormat="1" ht="79.5" x14ac:dyDescent="0.3">
      <c r="A48" s="19" t="s">
        <v>129</v>
      </c>
      <c r="B48" s="19" t="s">
        <v>44</v>
      </c>
      <c r="C48" s="19" t="s">
        <v>45</v>
      </c>
      <c r="D48" s="27" t="s">
        <v>46</v>
      </c>
      <c r="E48" s="108">
        <f t="shared" si="9"/>
        <v>142595550</v>
      </c>
      <c r="F48" s="110">
        <f>126091800+198750</f>
        <v>126290550</v>
      </c>
      <c r="G48" s="110">
        <f>15435000+870000</f>
        <v>16305000</v>
      </c>
      <c r="H48" s="110">
        <f>15000000+870000</f>
        <v>15870000</v>
      </c>
      <c r="I48" s="108">
        <f t="shared" si="10"/>
        <v>29592705.239999998</v>
      </c>
      <c r="J48" s="108">
        <v>28644873.18</v>
      </c>
      <c r="K48" s="110">
        <f>77644.06+870188</f>
        <v>947832.06</v>
      </c>
      <c r="L48" s="110"/>
      <c r="M48" s="130">
        <f t="shared" si="41"/>
        <v>0.20752895332287719</v>
      </c>
      <c r="N48" s="130">
        <f t="shared" si="42"/>
        <v>0.22681723359348741</v>
      </c>
      <c r="O48" s="130">
        <f>K48/G48</f>
        <v>5.8131374425023002E-2</v>
      </c>
      <c r="P48" s="130">
        <f>L48/H48</f>
        <v>0</v>
      </c>
      <c r="R48" s="51"/>
    </row>
    <row r="49" spans="1:19" s="29" customFormat="1" ht="18.75" x14ac:dyDescent="0.3">
      <c r="A49" s="19"/>
      <c r="B49" s="19"/>
      <c r="C49" s="19"/>
      <c r="D49" s="27" t="s">
        <v>394</v>
      </c>
      <c r="E49" s="108"/>
      <c r="F49" s="110"/>
      <c r="G49" s="110"/>
      <c r="H49" s="110"/>
      <c r="I49" s="108"/>
      <c r="J49" s="108"/>
      <c r="K49" s="110"/>
      <c r="L49" s="110"/>
      <c r="M49" s="130"/>
      <c r="N49" s="130"/>
      <c r="O49" s="130"/>
      <c r="P49" s="130"/>
      <c r="R49" s="51"/>
    </row>
    <row r="50" spans="1:19" s="37" customFormat="1" ht="48" x14ac:dyDescent="0.3">
      <c r="A50" s="35"/>
      <c r="B50" s="35"/>
      <c r="C50" s="35"/>
      <c r="D50" s="36" t="s">
        <v>395</v>
      </c>
      <c r="E50" s="109">
        <f t="shared" si="9"/>
        <v>90631400</v>
      </c>
      <c r="F50" s="111">
        <v>90631400</v>
      </c>
      <c r="G50" s="111"/>
      <c r="H50" s="111"/>
      <c r="I50" s="109">
        <f t="shared" si="10"/>
        <v>20280324</v>
      </c>
      <c r="J50" s="109">
        <v>20280324</v>
      </c>
      <c r="K50" s="111"/>
      <c r="L50" s="111"/>
      <c r="M50" s="131">
        <f t="shared" ref="M50:N54" si="43">I50/E50</f>
        <v>0.22376708293152264</v>
      </c>
      <c r="N50" s="131">
        <f t="shared" si="43"/>
        <v>0.22376708293152264</v>
      </c>
      <c r="O50" s="131"/>
      <c r="P50" s="131"/>
      <c r="S50" s="98"/>
    </row>
    <row r="51" spans="1:19" s="37" customFormat="1" ht="79.5" x14ac:dyDescent="0.3">
      <c r="A51" s="35"/>
      <c r="B51" s="35"/>
      <c r="C51" s="35"/>
      <c r="D51" s="36" t="s">
        <v>427</v>
      </c>
      <c r="E51" s="109">
        <f t="shared" si="9"/>
        <v>49300</v>
      </c>
      <c r="F51" s="111">
        <v>49300</v>
      </c>
      <c r="G51" s="111"/>
      <c r="H51" s="111"/>
      <c r="I51" s="109">
        <f t="shared" si="10"/>
        <v>0</v>
      </c>
      <c r="J51" s="109">
        <v>0</v>
      </c>
      <c r="K51" s="111"/>
      <c r="L51" s="111"/>
      <c r="M51" s="131">
        <f t="shared" si="43"/>
        <v>0</v>
      </c>
      <c r="N51" s="131">
        <f t="shared" si="43"/>
        <v>0</v>
      </c>
      <c r="O51" s="131"/>
      <c r="P51" s="131"/>
      <c r="S51" s="98"/>
    </row>
    <row r="52" spans="1:19" s="37" customFormat="1" ht="48" x14ac:dyDescent="0.3">
      <c r="A52" s="35"/>
      <c r="B52" s="35"/>
      <c r="C52" s="35"/>
      <c r="D52" s="36" t="s">
        <v>457</v>
      </c>
      <c r="E52" s="109">
        <f t="shared" si="9"/>
        <v>198750</v>
      </c>
      <c r="F52" s="111">
        <v>198750</v>
      </c>
      <c r="G52" s="111"/>
      <c r="H52" s="111"/>
      <c r="I52" s="109">
        <f t="shared" si="10"/>
        <v>0</v>
      </c>
      <c r="J52" s="109">
        <v>0</v>
      </c>
      <c r="K52" s="111"/>
      <c r="L52" s="111"/>
      <c r="M52" s="131">
        <f t="shared" si="43"/>
        <v>0</v>
      </c>
      <c r="N52" s="131">
        <f t="shared" si="43"/>
        <v>0</v>
      </c>
      <c r="O52" s="131"/>
      <c r="P52" s="131"/>
      <c r="S52" s="98"/>
    </row>
    <row r="53" spans="1:19" s="29" customFormat="1" ht="32.25" x14ac:dyDescent="0.3">
      <c r="A53" s="19" t="s">
        <v>130</v>
      </c>
      <c r="B53" s="19" t="s">
        <v>47</v>
      </c>
      <c r="C53" s="19" t="s">
        <v>45</v>
      </c>
      <c r="D53" s="27" t="s">
        <v>48</v>
      </c>
      <c r="E53" s="108">
        <f t="shared" si="9"/>
        <v>766500</v>
      </c>
      <c r="F53" s="110">
        <v>766500</v>
      </c>
      <c r="G53" s="110"/>
      <c r="H53" s="110"/>
      <c r="I53" s="108">
        <f t="shared" si="10"/>
        <v>184302.86</v>
      </c>
      <c r="J53" s="108">
        <v>184302.86</v>
      </c>
      <c r="K53" s="110"/>
      <c r="L53" s="110"/>
      <c r="M53" s="130">
        <f t="shared" si="43"/>
        <v>0.24044730593607305</v>
      </c>
      <c r="N53" s="130">
        <f t="shared" si="43"/>
        <v>0.24044730593607305</v>
      </c>
      <c r="O53" s="130"/>
      <c r="P53" s="130"/>
      <c r="S53" s="52"/>
    </row>
    <row r="54" spans="1:19" s="37" customFormat="1" ht="63.75" x14ac:dyDescent="0.3">
      <c r="A54" s="35"/>
      <c r="B54" s="35"/>
      <c r="C54" s="35"/>
      <c r="D54" s="36" t="s">
        <v>26</v>
      </c>
      <c r="E54" s="109">
        <f t="shared" si="9"/>
        <v>618900</v>
      </c>
      <c r="F54" s="111">
        <v>618900</v>
      </c>
      <c r="G54" s="111"/>
      <c r="H54" s="111"/>
      <c r="I54" s="109">
        <f t="shared" si="10"/>
        <v>141166</v>
      </c>
      <c r="J54" s="109">
        <v>141166</v>
      </c>
      <c r="K54" s="111"/>
      <c r="L54" s="111"/>
      <c r="M54" s="131">
        <f t="shared" si="43"/>
        <v>0.2280917757311359</v>
      </c>
      <c r="N54" s="131">
        <f t="shared" si="43"/>
        <v>0.2280917757311359</v>
      </c>
      <c r="O54" s="131"/>
      <c r="P54" s="131"/>
      <c r="S54" s="98"/>
    </row>
    <row r="55" spans="1:19" s="29" customFormat="1" ht="79.5" x14ac:dyDescent="0.3">
      <c r="A55" s="19" t="s">
        <v>131</v>
      </c>
      <c r="B55" s="19" t="s">
        <v>76</v>
      </c>
      <c r="C55" s="19" t="s">
        <v>49</v>
      </c>
      <c r="D55" s="27" t="s">
        <v>107</v>
      </c>
      <c r="E55" s="108">
        <f t="shared" si="9"/>
        <v>10800850</v>
      </c>
      <c r="F55" s="110">
        <f>10457600+13250</f>
        <v>10470850</v>
      </c>
      <c r="G55" s="110">
        <v>330000</v>
      </c>
      <c r="H55" s="110">
        <v>300000</v>
      </c>
      <c r="I55" s="108">
        <f t="shared" si="10"/>
        <v>2378188.7200000002</v>
      </c>
      <c r="J55" s="108">
        <v>2350611.7200000002</v>
      </c>
      <c r="K55" s="110">
        <v>27577</v>
      </c>
      <c r="L55" s="110"/>
      <c r="M55" s="130">
        <f>I55/E55</f>
        <v>0.2201853298582982</v>
      </c>
      <c r="N55" s="130">
        <f t="shared" ref="N55:P55" si="44">J55/F55</f>
        <v>0.22449101266850352</v>
      </c>
      <c r="O55" s="130">
        <f t="shared" si="44"/>
        <v>8.3566666666666664E-2</v>
      </c>
      <c r="P55" s="130">
        <f t="shared" si="44"/>
        <v>0</v>
      </c>
    </row>
    <row r="56" spans="1:19" s="29" customFormat="1" ht="18.75" x14ac:dyDescent="0.3">
      <c r="A56" s="19"/>
      <c r="B56" s="19"/>
      <c r="C56" s="19"/>
      <c r="D56" s="27" t="s">
        <v>394</v>
      </c>
      <c r="E56" s="108"/>
      <c r="F56" s="110"/>
      <c r="G56" s="110"/>
      <c r="H56" s="110"/>
      <c r="I56" s="108"/>
      <c r="J56" s="108"/>
      <c r="K56" s="110"/>
      <c r="L56" s="110"/>
      <c r="M56" s="130"/>
      <c r="N56" s="130"/>
      <c r="O56" s="130"/>
      <c r="P56" s="130"/>
    </row>
    <row r="57" spans="1:19" s="37" customFormat="1" ht="48" x14ac:dyDescent="0.3">
      <c r="A57" s="35"/>
      <c r="B57" s="35"/>
      <c r="C57" s="35"/>
      <c r="D57" s="36" t="s">
        <v>395</v>
      </c>
      <c r="E57" s="109">
        <f t="shared" si="9"/>
        <v>8057500</v>
      </c>
      <c r="F57" s="111">
        <v>8057500</v>
      </c>
      <c r="G57" s="111"/>
      <c r="H57" s="111"/>
      <c r="I57" s="109">
        <f t="shared" si="10"/>
        <v>1817538</v>
      </c>
      <c r="J57" s="109">
        <v>1817538</v>
      </c>
      <c r="K57" s="111"/>
      <c r="L57" s="111"/>
      <c r="M57" s="131">
        <f>I57/E57</f>
        <v>0.22557095873409866</v>
      </c>
      <c r="N57" s="131">
        <f>J57/F57</f>
        <v>0.22557095873409866</v>
      </c>
      <c r="O57" s="131"/>
      <c r="P57" s="131"/>
    </row>
    <row r="58" spans="1:19" s="37" customFormat="1" ht="48" x14ac:dyDescent="0.3">
      <c r="A58" s="35"/>
      <c r="B58" s="35"/>
      <c r="C58" s="35"/>
      <c r="D58" s="36" t="s">
        <v>457</v>
      </c>
      <c r="E58" s="109">
        <f t="shared" ref="E58" si="45">F58+G58</f>
        <v>13250</v>
      </c>
      <c r="F58" s="111">
        <v>13250</v>
      </c>
      <c r="G58" s="111"/>
      <c r="H58" s="111"/>
      <c r="I58" s="109">
        <f t="shared" ref="I58" si="46">J58+K58</f>
        <v>0</v>
      </c>
      <c r="J58" s="109">
        <v>0</v>
      </c>
      <c r="K58" s="111"/>
      <c r="L58" s="111"/>
      <c r="M58" s="131">
        <f t="shared" ref="M58" si="47">I58/E58</f>
        <v>0</v>
      </c>
      <c r="N58" s="131">
        <f t="shared" ref="N58" si="48">J58/F58</f>
        <v>0</v>
      </c>
      <c r="O58" s="131"/>
      <c r="P58" s="131"/>
      <c r="S58" s="98"/>
    </row>
    <row r="59" spans="1:19" s="29" customFormat="1" ht="48" x14ac:dyDescent="0.3">
      <c r="A59" s="19" t="s">
        <v>132</v>
      </c>
      <c r="B59" s="19" t="s">
        <v>33</v>
      </c>
      <c r="C59" s="19" t="s">
        <v>50</v>
      </c>
      <c r="D59" s="27" t="s">
        <v>51</v>
      </c>
      <c r="E59" s="108">
        <f t="shared" si="9"/>
        <v>13522500</v>
      </c>
      <c r="F59" s="110">
        <v>13346100</v>
      </c>
      <c r="G59" s="110">
        <v>176400</v>
      </c>
      <c r="H59" s="110"/>
      <c r="I59" s="108">
        <f t="shared" si="10"/>
        <v>2715422.36</v>
      </c>
      <c r="J59" s="108">
        <v>2688924.27</v>
      </c>
      <c r="K59" s="110">
        <f>18818.09+7680</f>
        <v>26498.09</v>
      </c>
      <c r="L59" s="110"/>
      <c r="M59" s="130">
        <f>I59/E59</f>
        <v>0.20080771750785725</v>
      </c>
      <c r="N59" s="130">
        <f t="shared" ref="N59:O59" si="49">J59/F59</f>
        <v>0.20147640659068941</v>
      </c>
      <c r="O59" s="130">
        <f t="shared" si="49"/>
        <v>0.15021592970521541</v>
      </c>
      <c r="P59" s="130"/>
    </row>
    <row r="60" spans="1:19" s="29" customFormat="1" ht="32.25" x14ac:dyDescent="0.3">
      <c r="A60" s="19" t="s">
        <v>135</v>
      </c>
      <c r="B60" s="19" t="s">
        <v>133</v>
      </c>
      <c r="C60" s="19" t="s">
        <v>52</v>
      </c>
      <c r="D60" s="12" t="s">
        <v>134</v>
      </c>
      <c r="E60" s="108">
        <f t="shared" si="9"/>
        <v>162400</v>
      </c>
      <c r="F60" s="110">
        <v>162400</v>
      </c>
      <c r="G60" s="110"/>
      <c r="H60" s="110"/>
      <c r="I60" s="108">
        <f t="shared" si="10"/>
        <v>20001.400000000001</v>
      </c>
      <c r="J60" s="108">
        <v>20001.400000000001</v>
      </c>
      <c r="K60" s="110"/>
      <c r="L60" s="110"/>
      <c r="M60" s="130">
        <f t="shared" ref="M60:M67" si="50">I60/E60</f>
        <v>0.12316133004926109</v>
      </c>
      <c r="N60" s="130">
        <f t="shared" ref="N60:O67" si="51">J60/F60</f>
        <v>0.12316133004926109</v>
      </c>
      <c r="O60" s="130"/>
      <c r="P60" s="130"/>
    </row>
    <row r="61" spans="1:19" s="29" customFormat="1" ht="32.25" x14ac:dyDescent="0.3">
      <c r="A61" s="19" t="s">
        <v>151</v>
      </c>
      <c r="B61" s="19" t="s">
        <v>150</v>
      </c>
      <c r="C61" s="19" t="s">
        <v>53</v>
      </c>
      <c r="D61" s="27" t="s">
        <v>152</v>
      </c>
      <c r="E61" s="108">
        <f t="shared" si="9"/>
        <v>1823400</v>
      </c>
      <c r="F61" s="110">
        <v>1823400</v>
      </c>
      <c r="G61" s="110"/>
      <c r="H61" s="110"/>
      <c r="I61" s="108">
        <f t="shared" si="10"/>
        <v>379714.55</v>
      </c>
      <c r="J61" s="108">
        <v>379714.55</v>
      </c>
      <c r="K61" s="110"/>
      <c r="L61" s="110"/>
      <c r="M61" s="130">
        <f t="shared" si="50"/>
        <v>0.20824533837885267</v>
      </c>
      <c r="N61" s="130">
        <f t="shared" si="51"/>
        <v>0.20824533837885267</v>
      </c>
      <c r="O61" s="130"/>
      <c r="P61" s="130"/>
    </row>
    <row r="62" spans="1:19" s="29" customFormat="1" ht="32.25" x14ac:dyDescent="0.3">
      <c r="A62" s="19" t="s">
        <v>285</v>
      </c>
      <c r="B62" s="19" t="s">
        <v>284</v>
      </c>
      <c r="C62" s="19" t="s">
        <v>53</v>
      </c>
      <c r="D62" s="27" t="s">
        <v>324</v>
      </c>
      <c r="E62" s="108">
        <f t="shared" si="9"/>
        <v>8015801</v>
      </c>
      <c r="F62" s="110">
        <f>7652800+363000</f>
        <v>8015800</v>
      </c>
      <c r="G62" s="110">
        <v>1</v>
      </c>
      <c r="H62" s="110"/>
      <c r="I62" s="108">
        <f t="shared" si="10"/>
        <v>1305000.97</v>
      </c>
      <c r="J62" s="108">
        <v>1305000.97</v>
      </c>
      <c r="K62" s="110"/>
      <c r="L62" s="110"/>
      <c r="M62" s="130">
        <f t="shared" si="50"/>
        <v>0.16280356386092917</v>
      </c>
      <c r="N62" s="130">
        <f t="shared" si="51"/>
        <v>0.16280358417126176</v>
      </c>
      <c r="O62" s="130">
        <f t="shared" si="51"/>
        <v>0</v>
      </c>
      <c r="P62" s="130"/>
    </row>
    <row r="63" spans="1:19" s="37" customFormat="1" ht="54" customHeight="1" x14ac:dyDescent="0.3">
      <c r="A63" s="35"/>
      <c r="B63" s="35"/>
      <c r="C63" s="35"/>
      <c r="D63" s="36" t="s">
        <v>456</v>
      </c>
      <c r="E63" s="109">
        <f t="shared" ref="E63" si="52">F63+G63</f>
        <v>363000</v>
      </c>
      <c r="F63" s="111">
        <v>363000</v>
      </c>
      <c r="G63" s="111"/>
      <c r="H63" s="111"/>
      <c r="I63" s="109">
        <f t="shared" ref="I63" si="53">J63+K63</f>
        <v>0</v>
      </c>
      <c r="J63" s="109">
        <v>0</v>
      </c>
      <c r="K63" s="111"/>
      <c r="L63" s="111"/>
      <c r="M63" s="131">
        <f>I63/E63</f>
        <v>0</v>
      </c>
      <c r="N63" s="131">
        <f>J63/F63</f>
        <v>0</v>
      </c>
      <c r="O63" s="131"/>
      <c r="P63" s="131"/>
    </row>
    <row r="64" spans="1:19" s="29" customFormat="1" ht="18.75" x14ac:dyDescent="0.3">
      <c r="A64" s="19" t="s">
        <v>325</v>
      </c>
      <c r="B64" s="19" t="s">
        <v>326</v>
      </c>
      <c r="C64" s="19" t="s">
        <v>53</v>
      </c>
      <c r="D64" s="27" t="s">
        <v>327</v>
      </c>
      <c r="E64" s="108">
        <f t="shared" si="9"/>
        <v>30800</v>
      </c>
      <c r="F64" s="110">
        <v>30800</v>
      </c>
      <c r="G64" s="110"/>
      <c r="H64" s="110"/>
      <c r="I64" s="108">
        <f t="shared" si="10"/>
        <v>0</v>
      </c>
      <c r="J64" s="108">
        <v>0</v>
      </c>
      <c r="K64" s="110"/>
      <c r="L64" s="110"/>
      <c r="M64" s="130">
        <f t="shared" si="50"/>
        <v>0</v>
      </c>
      <c r="N64" s="130">
        <f t="shared" si="51"/>
        <v>0</v>
      </c>
      <c r="O64" s="130"/>
      <c r="P64" s="130"/>
    </row>
    <row r="65" spans="1:16" s="29" customFormat="1" ht="79.5" x14ac:dyDescent="0.3">
      <c r="A65" s="19" t="s">
        <v>136</v>
      </c>
      <c r="B65" s="19" t="s">
        <v>61</v>
      </c>
      <c r="C65" s="19" t="s">
        <v>54</v>
      </c>
      <c r="D65" s="12" t="s">
        <v>55</v>
      </c>
      <c r="E65" s="108">
        <f t="shared" si="9"/>
        <v>1153100</v>
      </c>
      <c r="F65" s="108">
        <v>1153100</v>
      </c>
      <c r="G65" s="108"/>
      <c r="H65" s="108"/>
      <c r="I65" s="108">
        <f t="shared" si="10"/>
        <v>0</v>
      </c>
      <c r="J65" s="108">
        <v>0</v>
      </c>
      <c r="K65" s="108"/>
      <c r="L65" s="108"/>
      <c r="M65" s="130">
        <f t="shared" si="50"/>
        <v>0</v>
      </c>
      <c r="N65" s="130">
        <f t="shared" si="51"/>
        <v>0</v>
      </c>
      <c r="O65" s="130"/>
      <c r="P65" s="130"/>
    </row>
    <row r="66" spans="1:16" s="29" customFormat="1" ht="32.25" x14ac:dyDescent="0.3">
      <c r="A66" s="19" t="s">
        <v>321</v>
      </c>
      <c r="B66" s="19" t="s">
        <v>318</v>
      </c>
      <c r="C66" s="19" t="s">
        <v>33</v>
      </c>
      <c r="D66" s="27" t="s">
        <v>319</v>
      </c>
      <c r="E66" s="108">
        <f t="shared" si="9"/>
        <v>10702600</v>
      </c>
      <c r="F66" s="108">
        <v>10702600</v>
      </c>
      <c r="G66" s="108"/>
      <c r="H66" s="108"/>
      <c r="I66" s="108">
        <f t="shared" si="10"/>
        <v>2620436.13</v>
      </c>
      <c r="J66" s="108">
        <v>2620436.13</v>
      </c>
      <c r="K66" s="108"/>
      <c r="L66" s="108"/>
      <c r="M66" s="130">
        <f t="shared" si="50"/>
        <v>0.24484107880328143</v>
      </c>
      <c r="N66" s="130">
        <f t="shared" si="51"/>
        <v>0.24484107880328143</v>
      </c>
      <c r="O66" s="130"/>
      <c r="P66" s="130"/>
    </row>
    <row r="67" spans="1:16" s="29" customFormat="1" ht="46.5" customHeight="1" x14ac:dyDescent="0.3">
      <c r="A67" s="19" t="s">
        <v>143</v>
      </c>
      <c r="B67" s="19" t="s">
        <v>110</v>
      </c>
      <c r="C67" s="19" t="s">
        <v>56</v>
      </c>
      <c r="D67" s="12" t="s">
        <v>57</v>
      </c>
      <c r="E67" s="108">
        <f t="shared" si="9"/>
        <v>11040900</v>
      </c>
      <c r="F67" s="110">
        <v>5139300</v>
      </c>
      <c r="G67" s="110">
        <v>5901600</v>
      </c>
      <c r="H67" s="110">
        <v>5791600</v>
      </c>
      <c r="I67" s="108">
        <f t="shared" si="10"/>
        <v>1160200.6000000001</v>
      </c>
      <c r="J67" s="108">
        <v>1160200.6000000001</v>
      </c>
      <c r="K67" s="110"/>
      <c r="L67" s="110"/>
      <c r="M67" s="130">
        <f t="shared" si="50"/>
        <v>0.10508206758507006</v>
      </c>
      <c r="N67" s="130">
        <f t="shared" si="51"/>
        <v>0.22575070534897751</v>
      </c>
      <c r="O67" s="130">
        <f t="shared" ref="O67" si="54">K67/G67</f>
        <v>0</v>
      </c>
      <c r="P67" s="130">
        <f t="shared" ref="P67" si="55">L67/H67</f>
        <v>0</v>
      </c>
    </row>
    <row r="68" spans="1:16" s="29" customFormat="1" ht="32.25" hidden="1" x14ac:dyDescent="0.3">
      <c r="A68" s="19" t="s">
        <v>379</v>
      </c>
      <c r="B68" s="19" t="s">
        <v>291</v>
      </c>
      <c r="C68" s="19" t="s">
        <v>58</v>
      </c>
      <c r="D68" s="18" t="s">
        <v>258</v>
      </c>
      <c r="E68" s="108">
        <f t="shared" si="9"/>
        <v>0</v>
      </c>
      <c r="F68" s="110"/>
      <c r="G68" s="110"/>
      <c r="H68" s="110"/>
      <c r="I68" s="108">
        <f t="shared" si="10"/>
        <v>0</v>
      </c>
      <c r="J68" s="108"/>
      <c r="K68" s="110"/>
      <c r="L68" s="110"/>
      <c r="M68" s="130" t="e">
        <f t="shared" ref="M68" si="56">I68/E68*100</f>
        <v>#DIV/0!</v>
      </c>
      <c r="N68" s="130" t="e">
        <f t="shared" ref="N68" si="57">J68/F68*100</f>
        <v>#DIV/0!</v>
      </c>
      <c r="O68" s="130" t="e">
        <f t="shared" si="19"/>
        <v>#DIV/0!</v>
      </c>
      <c r="P68" s="130" t="e">
        <f t="shared" si="20"/>
        <v>#DIV/0!</v>
      </c>
    </row>
    <row r="69" spans="1:16" s="30" customFormat="1" ht="35.25" customHeight="1" x14ac:dyDescent="0.3">
      <c r="A69" s="25" t="s">
        <v>144</v>
      </c>
      <c r="B69" s="25"/>
      <c r="C69" s="25"/>
      <c r="D69" s="26" t="s">
        <v>20</v>
      </c>
      <c r="E69" s="107">
        <f>E70</f>
        <v>154121720</v>
      </c>
      <c r="F69" s="107">
        <f t="shared" ref="F69:L69" si="58">F70</f>
        <v>154055720</v>
      </c>
      <c r="G69" s="107">
        <f t="shared" si="58"/>
        <v>66000</v>
      </c>
      <c r="H69" s="107">
        <f t="shared" si="58"/>
        <v>44000</v>
      </c>
      <c r="I69" s="107">
        <f t="shared" si="58"/>
        <v>36628821.75</v>
      </c>
      <c r="J69" s="107">
        <f t="shared" si="58"/>
        <v>36594591.75</v>
      </c>
      <c r="K69" s="107">
        <f t="shared" si="58"/>
        <v>34230</v>
      </c>
      <c r="L69" s="107">
        <f t="shared" si="58"/>
        <v>30950</v>
      </c>
      <c r="M69" s="129">
        <f>I69/E69</f>
        <v>0.23766164658686653</v>
      </c>
      <c r="N69" s="129">
        <f t="shared" ref="N69:P69" si="59">J69/F69</f>
        <v>0.23754127240455597</v>
      </c>
      <c r="O69" s="129">
        <f t="shared" si="59"/>
        <v>0.51863636363636367</v>
      </c>
      <c r="P69" s="129">
        <f t="shared" si="59"/>
        <v>0.70340909090909087</v>
      </c>
    </row>
    <row r="70" spans="1:16" s="30" customFormat="1" ht="34.5" customHeight="1" x14ac:dyDescent="0.3">
      <c r="A70" s="25" t="s">
        <v>145</v>
      </c>
      <c r="B70" s="25"/>
      <c r="C70" s="25"/>
      <c r="D70" s="26" t="s">
        <v>20</v>
      </c>
      <c r="E70" s="107">
        <f t="shared" si="9"/>
        <v>154121720</v>
      </c>
      <c r="F70" s="107">
        <f>F71+F72+F73+F74+F75+F76+F77+F78+F79+F80+F81+F82+F83+F84+F85+F87+F88+F89+F90+F91+F92+F93+F94+F95+F96+F97+F98+F99</f>
        <v>154055720</v>
      </c>
      <c r="G70" s="107">
        <f t="shared" ref="G70:J70" si="60">G71+G72+G73+G74+G75+G76+G77+G78+G79+G80+G81+G82+G83+G84+G85+G87+G88+G89+G90+G91+G92+G93+G94+G95+G96+G97+G98+G99</f>
        <v>66000</v>
      </c>
      <c r="H70" s="107">
        <f t="shared" si="60"/>
        <v>44000</v>
      </c>
      <c r="I70" s="107">
        <f t="shared" si="10"/>
        <v>36628821.75</v>
      </c>
      <c r="J70" s="107">
        <f t="shared" si="60"/>
        <v>36594591.75</v>
      </c>
      <c r="K70" s="107">
        <f t="shared" ref="K70" si="61">K71+K72+K73+K74+K75+K76+K77+K78+K79+K80+K81+K82+K83+K84+K85+K87+K88+K89+K90+K91+K92+K93+K94+K95+K96+K97+K98+K99</f>
        <v>34230</v>
      </c>
      <c r="L70" s="107">
        <f t="shared" ref="L70" si="62">L71+L72+L73+L74+L75+L76+L77+L78+L79+L80+L81+L82+L83+L84+L85+L87+L88+L89+L90+L91+L92+L93+L94+L95+L96+L97+L98+L99</f>
        <v>30950</v>
      </c>
      <c r="M70" s="129">
        <f>I70/E70</f>
        <v>0.23766164658686653</v>
      </c>
      <c r="N70" s="129">
        <f t="shared" ref="N70:N71" si="63">J70/F70</f>
        <v>0.23754127240455597</v>
      </c>
      <c r="O70" s="129">
        <f t="shared" ref="O70:O71" si="64">K70/G70</f>
        <v>0.51863636363636367</v>
      </c>
      <c r="P70" s="129">
        <f t="shared" ref="P70:P71" si="65">L70/H70</f>
        <v>0.70340909090909087</v>
      </c>
    </row>
    <row r="71" spans="1:16" s="29" customFormat="1" ht="48" x14ac:dyDescent="0.3">
      <c r="A71" s="19" t="s">
        <v>146</v>
      </c>
      <c r="B71" s="19" t="s">
        <v>124</v>
      </c>
      <c r="C71" s="19" t="s">
        <v>32</v>
      </c>
      <c r="D71" s="18" t="s">
        <v>126</v>
      </c>
      <c r="E71" s="108">
        <f t="shared" si="9"/>
        <v>9700800</v>
      </c>
      <c r="F71" s="108">
        <v>9668800</v>
      </c>
      <c r="G71" s="108">
        <v>32000</v>
      </c>
      <c r="H71" s="108">
        <v>32000</v>
      </c>
      <c r="I71" s="108">
        <f t="shared" si="10"/>
        <v>2131550.38</v>
      </c>
      <c r="J71" s="108">
        <v>2112600.38</v>
      </c>
      <c r="K71" s="108">
        <v>18950</v>
      </c>
      <c r="L71" s="108">
        <v>18950</v>
      </c>
      <c r="M71" s="130">
        <f>I71/E71</f>
        <v>0.21972933984825993</v>
      </c>
      <c r="N71" s="130">
        <f t="shared" si="63"/>
        <v>0.21849664694688067</v>
      </c>
      <c r="O71" s="130">
        <f t="shared" si="64"/>
        <v>0.59218749999999998</v>
      </c>
      <c r="P71" s="130">
        <f t="shared" si="65"/>
        <v>0.59218749999999998</v>
      </c>
    </row>
    <row r="72" spans="1:16" s="16" customFormat="1" ht="18.75" x14ac:dyDescent="0.3">
      <c r="A72" s="19" t="s">
        <v>387</v>
      </c>
      <c r="B72" s="19" t="s">
        <v>41</v>
      </c>
      <c r="C72" s="19" t="s">
        <v>37</v>
      </c>
      <c r="D72" s="85" t="s">
        <v>207</v>
      </c>
      <c r="E72" s="108">
        <f t="shared" si="9"/>
        <v>10000</v>
      </c>
      <c r="F72" s="108">
        <v>10000</v>
      </c>
      <c r="G72" s="107"/>
      <c r="H72" s="107"/>
      <c r="I72" s="108">
        <f t="shared" si="10"/>
        <v>0</v>
      </c>
      <c r="J72" s="108">
        <v>0</v>
      </c>
      <c r="K72" s="108"/>
      <c r="L72" s="108"/>
      <c r="M72" s="130">
        <f t="shared" ref="M72:M99" si="66">I72/E72</f>
        <v>0</v>
      </c>
      <c r="N72" s="130">
        <f t="shared" ref="N72:O99" si="67">J72/F72</f>
        <v>0</v>
      </c>
      <c r="O72" s="130"/>
      <c r="P72" s="130"/>
    </row>
    <row r="73" spans="1:16" s="99" customFormat="1" ht="48" x14ac:dyDescent="0.3">
      <c r="A73" s="19" t="s">
        <v>220</v>
      </c>
      <c r="B73" s="19" t="s">
        <v>72</v>
      </c>
      <c r="C73" s="19" t="s">
        <v>47</v>
      </c>
      <c r="D73" s="12" t="s">
        <v>219</v>
      </c>
      <c r="E73" s="108">
        <f t="shared" si="9"/>
        <v>5765500</v>
      </c>
      <c r="F73" s="108">
        <v>5765500</v>
      </c>
      <c r="G73" s="108"/>
      <c r="H73" s="108"/>
      <c r="I73" s="108">
        <f t="shared" si="10"/>
        <v>2359580.15</v>
      </c>
      <c r="J73" s="108">
        <v>2359580.15</v>
      </c>
      <c r="K73" s="108"/>
      <c r="L73" s="108"/>
      <c r="M73" s="130">
        <f t="shared" si="66"/>
        <v>0.40925854652675397</v>
      </c>
      <c r="N73" s="130">
        <f t="shared" si="67"/>
        <v>0.40925854652675397</v>
      </c>
      <c r="O73" s="130"/>
      <c r="P73" s="130"/>
    </row>
    <row r="74" spans="1:16" s="99" customFormat="1" ht="32.25" x14ac:dyDescent="0.3">
      <c r="A74" s="19" t="s">
        <v>221</v>
      </c>
      <c r="B74" s="19" t="s">
        <v>75</v>
      </c>
      <c r="C74" s="19" t="s">
        <v>47</v>
      </c>
      <c r="D74" s="12" t="s">
        <v>91</v>
      </c>
      <c r="E74" s="108">
        <f t="shared" si="9"/>
        <v>13500000</v>
      </c>
      <c r="F74" s="108">
        <v>13500000</v>
      </c>
      <c r="G74" s="108"/>
      <c r="H74" s="108"/>
      <c r="I74" s="108">
        <f t="shared" si="10"/>
        <v>8483370.9700000007</v>
      </c>
      <c r="J74" s="108">
        <v>8483370.9700000007</v>
      </c>
      <c r="K74" s="108"/>
      <c r="L74" s="108"/>
      <c r="M74" s="130">
        <f t="shared" si="66"/>
        <v>0.62839784962962963</v>
      </c>
      <c r="N74" s="130">
        <f t="shared" si="67"/>
        <v>0.62839784962962963</v>
      </c>
      <c r="O74" s="130"/>
      <c r="P74" s="130"/>
    </row>
    <row r="75" spans="1:16" s="99" customFormat="1" ht="63.75" x14ac:dyDescent="0.3">
      <c r="A75" s="19" t="s">
        <v>223</v>
      </c>
      <c r="B75" s="19" t="s">
        <v>73</v>
      </c>
      <c r="C75" s="19" t="s">
        <v>47</v>
      </c>
      <c r="D75" s="12" t="s">
        <v>222</v>
      </c>
      <c r="E75" s="108">
        <f t="shared" si="9"/>
        <v>23000</v>
      </c>
      <c r="F75" s="108">
        <v>23000</v>
      </c>
      <c r="G75" s="108"/>
      <c r="H75" s="108"/>
      <c r="I75" s="108">
        <f t="shared" si="10"/>
        <v>0</v>
      </c>
      <c r="J75" s="108">
        <v>0</v>
      </c>
      <c r="K75" s="108"/>
      <c r="L75" s="108"/>
      <c r="M75" s="130">
        <f t="shared" si="66"/>
        <v>0</v>
      </c>
      <c r="N75" s="130">
        <f t="shared" si="67"/>
        <v>0</v>
      </c>
      <c r="O75" s="130"/>
      <c r="P75" s="130"/>
    </row>
    <row r="76" spans="1:16" s="99" customFormat="1" ht="48" x14ac:dyDescent="0.3">
      <c r="A76" s="19" t="s">
        <v>225</v>
      </c>
      <c r="B76" s="19" t="s">
        <v>224</v>
      </c>
      <c r="C76" s="19" t="s">
        <v>68</v>
      </c>
      <c r="D76" s="12" t="s">
        <v>92</v>
      </c>
      <c r="E76" s="108">
        <f t="shared" si="9"/>
        <v>236000</v>
      </c>
      <c r="F76" s="108">
        <v>236000</v>
      </c>
      <c r="G76" s="108"/>
      <c r="H76" s="108"/>
      <c r="I76" s="108">
        <f t="shared" si="10"/>
        <v>8037.71</v>
      </c>
      <c r="J76" s="108">
        <v>8037.71</v>
      </c>
      <c r="K76" s="108"/>
      <c r="L76" s="108"/>
      <c r="M76" s="130">
        <f t="shared" si="66"/>
        <v>3.4058093220338981E-2</v>
      </c>
      <c r="N76" s="130">
        <f t="shared" si="67"/>
        <v>3.4058093220338981E-2</v>
      </c>
      <c r="O76" s="130"/>
      <c r="P76" s="130"/>
    </row>
    <row r="77" spans="1:16" s="99" customFormat="1" ht="32.25" x14ac:dyDescent="0.3">
      <c r="A77" s="19" t="s">
        <v>227</v>
      </c>
      <c r="B77" s="19" t="s">
        <v>74</v>
      </c>
      <c r="C77" s="19" t="s">
        <v>47</v>
      </c>
      <c r="D77" s="12" t="s">
        <v>226</v>
      </c>
      <c r="E77" s="108">
        <f t="shared" si="9"/>
        <v>368400</v>
      </c>
      <c r="F77" s="108">
        <v>368400</v>
      </c>
      <c r="G77" s="108"/>
      <c r="H77" s="108"/>
      <c r="I77" s="108">
        <f t="shared" si="10"/>
        <v>116362.38</v>
      </c>
      <c r="J77" s="108">
        <v>116362.38</v>
      </c>
      <c r="K77" s="108"/>
      <c r="L77" s="108"/>
      <c r="M77" s="130">
        <f t="shared" si="66"/>
        <v>0.31585879478827361</v>
      </c>
      <c r="N77" s="130">
        <f t="shared" si="67"/>
        <v>0.31585879478827361</v>
      </c>
      <c r="O77" s="130"/>
      <c r="P77" s="130"/>
    </row>
    <row r="78" spans="1:16" s="99" customFormat="1" ht="32.25" x14ac:dyDescent="0.3">
      <c r="A78" s="19" t="s">
        <v>228</v>
      </c>
      <c r="B78" s="19" t="s">
        <v>229</v>
      </c>
      <c r="C78" s="19" t="s">
        <v>76</v>
      </c>
      <c r="D78" s="12" t="s">
        <v>77</v>
      </c>
      <c r="E78" s="108">
        <f t="shared" si="9"/>
        <v>228000</v>
      </c>
      <c r="F78" s="108">
        <v>228000</v>
      </c>
      <c r="G78" s="108"/>
      <c r="H78" s="108"/>
      <c r="I78" s="108">
        <f t="shared" si="10"/>
        <v>0</v>
      </c>
      <c r="J78" s="108">
        <v>0</v>
      </c>
      <c r="K78" s="108"/>
      <c r="L78" s="108"/>
      <c r="M78" s="130">
        <f t="shared" si="66"/>
        <v>0</v>
      </c>
      <c r="N78" s="130">
        <f t="shared" si="67"/>
        <v>0</v>
      </c>
      <c r="O78" s="130"/>
      <c r="P78" s="130"/>
    </row>
    <row r="79" spans="1:16" s="16" customFormat="1" ht="32.25" x14ac:dyDescent="0.3">
      <c r="A79" s="19" t="s">
        <v>230</v>
      </c>
      <c r="B79" s="19" t="s">
        <v>78</v>
      </c>
      <c r="C79" s="19" t="s">
        <v>54</v>
      </c>
      <c r="D79" s="18" t="s">
        <v>79</v>
      </c>
      <c r="E79" s="108">
        <f t="shared" si="9"/>
        <v>1302100</v>
      </c>
      <c r="F79" s="108">
        <f>1540100-238000</f>
        <v>1302100</v>
      </c>
      <c r="G79" s="108"/>
      <c r="H79" s="108"/>
      <c r="I79" s="108">
        <f t="shared" si="10"/>
        <v>100159.86</v>
      </c>
      <c r="J79" s="108">
        <v>100159.86</v>
      </c>
      <c r="K79" s="108"/>
      <c r="L79" s="108"/>
      <c r="M79" s="130">
        <f t="shared" si="66"/>
        <v>7.6921787881115117E-2</v>
      </c>
      <c r="N79" s="130">
        <f t="shared" si="67"/>
        <v>7.6921787881115117E-2</v>
      </c>
      <c r="O79" s="130"/>
      <c r="P79" s="130"/>
    </row>
    <row r="80" spans="1:16" s="16" customFormat="1" ht="18.75" x14ac:dyDescent="0.3">
      <c r="A80" s="19" t="s">
        <v>231</v>
      </c>
      <c r="B80" s="19" t="s">
        <v>80</v>
      </c>
      <c r="C80" s="19" t="s">
        <v>54</v>
      </c>
      <c r="D80" s="39" t="s">
        <v>89</v>
      </c>
      <c r="E80" s="108">
        <f t="shared" si="9"/>
        <v>200000</v>
      </c>
      <c r="F80" s="108">
        <v>200000</v>
      </c>
      <c r="G80" s="108"/>
      <c r="H80" s="108"/>
      <c r="I80" s="108">
        <f t="shared" si="10"/>
        <v>65704</v>
      </c>
      <c r="J80" s="108">
        <v>65704</v>
      </c>
      <c r="K80" s="108"/>
      <c r="L80" s="108"/>
      <c r="M80" s="130">
        <f t="shared" si="66"/>
        <v>0.32851999999999998</v>
      </c>
      <c r="N80" s="130">
        <f t="shared" si="67"/>
        <v>0.32851999999999998</v>
      </c>
      <c r="O80" s="130"/>
      <c r="P80" s="130"/>
    </row>
    <row r="81" spans="1:16" s="16" customFormat="1" ht="18.75" x14ac:dyDescent="0.3">
      <c r="A81" s="19" t="s">
        <v>232</v>
      </c>
      <c r="B81" s="19" t="s">
        <v>81</v>
      </c>
      <c r="C81" s="19" t="s">
        <v>54</v>
      </c>
      <c r="D81" s="18" t="s">
        <v>82</v>
      </c>
      <c r="E81" s="108">
        <f t="shared" si="9"/>
        <v>48343700</v>
      </c>
      <c r="F81" s="108">
        <f>50510700-2167000</f>
        <v>48343700</v>
      </c>
      <c r="G81" s="108"/>
      <c r="H81" s="108"/>
      <c r="I81" s="108">
        <f t="shared" si="10"/>
        <v>7761238.8399999999</v>
      </c>
      <c r="J81" s="108">
        <v>7761238.8399999999</v>
      </c>
      <c r="K81" s="108"/>
      <c r="L81" s="108"/>
      <c r="M81" s="130">
        <f t="shared" si="66"/>
        <v>0.16054292162163838</v>
      </c>
      <c r="N81" s="130">
        <f t="shared" si="67"/>
        <v>0.16054292162163838</v>
      </c>
      <c r="O81" s="130"/>
      <c r="P81" s="130"/>
    </row>
    <row r="82" spans="1:16" s="16" customFormat="1" ht="32.25" x14ac:dyDescent="0.3">
      <c r="A82" s="19" t="s">
        <v>233</v>
      </c>
      <c r="B82" s="19" t="s">
        <v>83</v>
      </c>
      <c r="C82" s="19" t="s">
        <v>54</v>
      </c>
      <c r="D82" s="18" t="s">
        <v>84</v>
      </c>
      <c r="E82" s="108">
        <f t="shared" si="9"/>
        <v>5000000</v>
      </c>
      <c r="F82" s="108">
        <v>5000000</v>
      </c>
      <c r="G82" s="108"/>
      <c r="H82" s="108"/>
      <c r="I82" s="108">
        <f t="shared" si="10"/>
        <v>1238533.46</v>
      </c>
      <c r="J82" s="108">
        <v>1238533.46</v>
      </c>
      <c r="K82" s="108"/>
      <c r="L82" s="108"/>
      <c r="M82" s="130">
        <f t="shared" si="66"/>
        <v>0.24770669200000001</v>
      </c>
      <c r="N82" s="130">
        <f t="shared" si="67"/>
        <v>0.24770669200000001</v>
      </c>
      <c r="O82" s="130"/>
      <c r="P82" s="130"/>
    </row>
    <row r="83" spans="1:16" s="16" customFormat="1" ht="18.75" x14ac:dyDescent="0.3">
      <c r="A83" s="19" t="s">
        <v>234</v>
      </c>
      <c r="B83" s="19" t="s">
        <v>87</v>
      </c>
      <c r="C83" s="19" t="s">
        <v>54</v>
      </c>
      <c r="D83" s="18" t="s">
        <v>86</v>
      </c>
      <c r="E83" s="108">
        <f t="shared" ref="E83:E146" si="68">F83+G83</f>
        <v>8640000</v>
      </c>
      <c r="F83" s="108">
        <f>9000000-360000</f>
        <v>8640000</v>
      </c>
      <c r="G83" s="108"/>
      <c r="H83" s="108"/>
      <c r="I83" s="108">
        <f t="shared" ref="I83:I146" si="69">J83+K83</f>
        <v>1979056.28</v>
      </c>
      <c r="J83" s="108">
        <v>1979056.28</v>
      </c>
      <c r="K83" s="108"/>
      <c r="L83" s="108"/>
      <c r="M83" s="130">
        <f t="shared" si="66"/>
        <v>0.22905743981481483</v>
      </c>
      <c r="N83" s="130">
        <f t="shared" si="67"/>
        <v>0.22905743981481483</v>
      </c>
      <c r="O83" s="130"/>
      <c r="P83" s="130"/>
    </row>
    <row r="84" spans="1:16" s="16" customFormat="1" ht="18.75" x14ac:dyDescent="0.3">
      <c r="A84" s="19" t="s">
        <v>235</v>
      </c>
      <c r="B84" s="19" t="s">
        <v>85</v>
      </c>
      <c r="C84" s="19" t="s">
        <v>54</v>
      </c>
      <c r="D84" s="18" t="s">
        <v>116</v>
      </c>
      <c r="E84" s="108">
        <f t="shared" si="68"/>
        <v>653000</v>
      </c>
      <c r="F84" s="108">
        <f>933000-280000</f>
        <v>653000</v>
      </c>
      <c r="G84" s="108"/>
      <c r="H84" s="108"/>
      <c r="I84" s="108">
        <f t="shared" si="69"/>
        <v>59328.15</v>
      </c>
      <c r="J84" s="108">
        <v>59328.15</v>
      </c>
      <c r="K84" s="108"/>
      <c r="L84" s="108"/>
      <c r="M84" s="130">
        <f t="shared" si="66"/>
        <v>9.0854747320061255E-2</v>
      </c>
      <c r="N84" s="130">
        <f t="shared" si="67"/>
        <v>9.0854747320061255E-2</v>
      </c>
      <c r="O84" s="130"/>
      <c r="P84" s="130"/>
    </row>
    <row r="85" spans="1:16" s="16" customFormat="1" ht="35.25" customHeight="1" x14ac:dyDescent="0.3">
      <c r="A85" s="19" t="s">
        <v>236</v>
      </c>
      <c r="B85" s="19" t="s">
        <v>88</v>
      </c>
      <c r="C85" s="19" t="s">
        <v>54</v>
      </c>
      <c r="D85" s="18" t="s">
        <v>90</v>
      </c>
      <c r="E85" s="108">
        <f t="shared" si="68"/>
        <v>6210600</v>
      </c>
      <c r="F85" s="108">
        <v>6210600</v>
      </c>
      <c r="G85" s="108"/>
      <c r="H85" s="108"/>
      <c r="I85" s="108">
        <f t="shared" si="69"/>
        <v>1462185.68</v>
      </c>
      <c r="J85" s="108">
        <v>1462185.68</v>
      </c>
      <c r="K85" s="108"/>
      <c r="L85" s="108"/>
      <c r="M85" s="130">
        <f t="shared" si="66"/>
        <v>0.23543388400476603</v>
      </c>
      <c r="N85" s="130">
        <f t="shared" si="67"/>
        <v>0.23543388400476603</v>
      </c>
      <c r="O85" s="130"/>
      <c r="P85" s="130"/>
    </row>
    <row r="86" spans="1:16" s="16" customFormat="1" ht="32.25" hidden="1" x14ac:dyDescent="0.3">
      <c r="A86" s="19" t="s">
        <v>422</v>
      </c>
      <c r="B86" s="19" t="s">
        <v>423</v>
      </c>
      <c r="C86" s="19" t="s">
        <v>54</v>
      </c>
      <c r="D86" s="18" t="s">
        <v>424</v>
      </c>
      <c r="E86" s="108">
        <f t="shared" si="68"/>
        <v>0</v>
      </c>
      <c r="F86" s="108"/>
      <c r="G86" s="108"/>
      <c r="H86" s="108"/>
      <c r="I86" s="108">
        <f t="shared" si="69"/>
        <v>0</v>
      </c>
      <c r="J86" s="108"/>
      <c r="K86" s="108"/>
      <c r="L86" s="108"/>
      <c r="M86" s="130" t="e">
        <f t="shared" si="66"/>
        <v>#DIV/0!</v>
      </c>
      <c r="N86" s="130" t="e">
        <f t="shared" si="67"/>
        <v>#DIV/0!</v>
      </c>
      <c r="O86" s="130"/>
      <c r="P86" s="130"/>
    </row>
    <row r="87" spans="1:16" s="16" customFormat="1" ht="30.75" x14ac:dyDescent="0.3">
      <c r="A87" s="19" t="s">
        <v>430</v>
      </c>
      <c r="B87" s="50" t="s">
        <v>428</v>
      </c>
      <c r="C87" s="50" t="s">
        <v>76</v>
      </c>
      <c r="D87" s="55" t="s">
        <v>429</v>
      </c>
      <c r="E87" s="108">
        <f t="shared" si="68"/>
        <v>129280</v>
      </c>
      <c r="F87" s="108">
        <v>129280</v>
      </c>
      <c r="G87" s="108"/>
      <c r="H87" s="108"/>
      <c r="I87" s="108">
        <f t="shared" si="69"/>
        <v>32310</v>
      </c>
      <c r="J87" s="108">
        <v>32310</v>
      </c>
      <c r="K87" s="108"/>
      <c r="L87" s="108"/>
      <c r="M87" s="130">
        <f t="shared" si="66"/>
        <v>0.24992264851485149</v>
      </c>
      <c r="N87" s="130">
        <f t="shared" si="67"/>
        <v>0.24992264851485149</v>
      </c>
      <c r="O87" s="130"/>
      <c r="P87" s="130"/>
    </row>
    <row r="88" spans="1:16" s="16" customFormat="1" ht="48" x14ac:dyDescent="0.3">
      <c r="A88" s="19" t="s">
        <v>302</v>
      </c>
      <c r="B88" s="19" t="s">
        <v>304</v>
      </c>
      <c r="C88" s="19" t="s">
        <v>42</v>
      </c>
      <c r="D88" s="12" t="s">
        <v>306</v>
      </c>
      <c r="E88" s="108">
        <f t="shared" si="68"/>
        <v>11854000</v>
      </c>
      <c r="F88" s="108">
        <v>11854000</v>
      </c>
      <c r="G88" s="108"/>
      <c r="H88" s="108"/>
      <c r="I88" s="108">
        <f t="shared" si="69"/>
        <v>2608115.89</v>
      </c>
      <c r="J88" s="108">
        <v>2608115.89</v>
      </c>
      <c r="K88" s="108"/>
      <c r="L88" s="108"/>
      <c r="M88" s="130">
        <f t="shared" si="66"/>
        <v>0.22001989961194535</v>
      </c>
      <c r="N88" s="130">
        <f t="shared" si="67"/>
        <v>0.22001989961194535</v>
      </c>
      <c r="O88" s="130"/>
      <c r="P88" s="130"/>
    </row>
    <row r="89" spans="1:16" s="16" customFormat="1" ht="63.75" x14ac:dyDescent="0.3">
      <c r="A89" s="19" t="s">
        <v>425</v>
      </c>
      <c r="B89" s="19" t="s">
        <v>328</v>
      </c>
      <c r="C89" s="19" t="s">
        <v>42</v>
      </c>
      <c r="D89" s="12" t="s">
        <v>329</v>
      </c>
      <c r="E89" s="108">
        <f t="shared" si="68"/>
        <v>4231000</v>
      </c>
      <c r="F89" s="108">
        <v>4231000</v>
      </c>
      <c r="G89" s="108"/>
      <c r="H89" s="108"/>
      <c r="I89" s="108">
        <f t="shared" si="69"/>
        <v>794004.34</v>
      </c>
      <c r="J89" s="108">
        <v>794004.34</v>
      </c>
      <c r="K89" s="108"/>
      <c r="L89" s="108"/>
      <c r="M89" s="130">
        <f t="shared" si="66"/>
        <v>0.18766351689907823</v>
      </c>
      <c r="N89" s="130">
        <f t="shared" si="67"/>
        <v>0.18766351689907823</v>
      </c>
      <c r="O89" s="130"/>
      <c r="P89" s="130"/>
    </row>
    <row r="90" spans="1:16" s="16" customFormat="1" ht="48" x14ac:dyDescent="0.3">
      <c r="A90" s="19" t="s">
        <v>303</v>
      </c>
      <c r="B90" s="19" t="s">
        <v>305</v>
      </c>
      <c r="C90" s="19" t="s">
        <v>42</v>
      </c>
      <c r="D90" s="12" t="s">
        <v>307</v>
      </c>
      <c r="E90" s="108">
        <f t="shared" si="68"/>
        <v>1748000</v>
      </c>
      <c r="F90" s="108">
        <v>1748000</v>
      </c>
      <c r="G90" s="107"/>
      <c r="H90" s="107"/>
      <c r="I90" s="108">
        <f t="shared" si="69"/>
        <v>271249.39</v>
      </c>
      <c r="J90" s="108">
        <v>271249.39</v>
      </c>
      <c r="K90" s="108"/>
      <c r="L90" s="108"/>
      <c r="M90" s="130">
        <f t="shared" si="66"/>
        <v>0.15517699656750572</v>
      </c>
      <c r="N90" s="130">
        <f t="shared" si="67"/>
        <v>0.15517699656750572</v>
      </c>
      <c r="O90" s="130"/>
      <c r="P90" s="130"/>
    </row>
    <row r="91" spans="1:16" s="29" customFormat="1" ht="63.75" x14ac:dyDescent="0.3">
      <c r="A91" s="19" t="s">
        <v>402</v>
      </c>
      <c r="B91" s="19" t="s">
        <v>400</v>
      </c>
      <c r="C91" s="19" t="s">
        <v>54</v>
      </c>
      <c r="D91" s="12" t="s">
        <v>401</v>
      </c>
      <c r="E91" s="108">
        <f t="shared" si="68"/>
        <v>740600</v>
      </c>
      <c r="F91" s="110">
        <f>990600-250000</f>
        <v>740600</v>
      </c>
      <c r="G91" s="110"/>
      <c r="H91" s="110"/>
      <c r="I91" s="108">
        <f t="shared" si="69"/>
        <v>57250.15</v>
      </c>
      <c r="J91" s="110">
        <v>57250.15</v>
      </c>
      <c r="K91" s="110"/>
      <c r="L91" s="110"/>
      <c r="M91" s="130">
        <f t="shared" si="66"/>
        <v>7.7302389954091277E-2</v>
      </c>
      <c r="N91" s="130">
        <f t="shared" si="67"/>
        <v>7.7302389954091277E-2</v>
      </c>
      <c r="O91" s="130"/>
      <c r="P91" s="130"/>
    </row>
    <row r="92" spans="1:16" s="29" customFormat="1" ht="38.25" customHeight="1" x14ac:dyDescent="0.3">
      <c r="A92" s="19" t="s">
        <v>431</v>
      </c>
      <c r="B92" s="19" t="s">
        <v>432</v>
      </c>
      <c r="C92" s="19" t="s">
        <v>47</v>
      </c>
      <c r="D92" s="12" t="s">
        <v>433</v>
      </c>
      <c r="E92" s="108">
        <f t="shared" si="68"/>
        <v>57500</v>
      </c>
      <c r="F92" s="110">
        <v>57500</v>
      </c>
      <c r="G92" s="110"/>
      <c r="H92" s="110"/>
      <c r="I92" s="108">
        <f t="shared" si="69"/>
        <v>13560.86</v>
      </c>
      <c r="J92" s="110">
        <v>13560.86</v>
      </c>
      <c r="K92" s="110"/>
      <c r="L92" s="110"/>
      <c r="M92" s="130">
        <f t="shared" si="66"/>
        <v>0.23584104347826088</v>
      </c>
      <c r="N92" s="130">
        <f t="shared" si="67"/>
        <v>0.23584104347826088</v>
      </c>
      <c r="O92" s="130"/>
      <c r="P92" s="130"/>
    </row>
    <row r="93" spans="1:16" s="16" customFormat="1" ht="63.75" x14ac:dyDescent="0.3">
      <c r="A93" s="19" t="s">
        <v>250</v>
      </c>
      <c r="B93" s="19" t="s">
        <v>249</v>
      </c>
      <c r="C93" s="19" t="s">
        <v>44</v>
      </c>
      <c r="D93" s="12" t="s">
        <v>308</v>
      </c>
      <c r="E93" s="108">
        <f t="shared" si="68"/>
        <v>6139900</v>
      </c>
      <c r="F93" s="108">
        <v>6117900</v>
      </c>
      <c r="G93" s="108">
        <v>22000</v>
      </c>
      <c r="H93" s="108"/>
      <c r="I93" s="108">
        <f t="shared" si="69"/>
        <v>1472540.05</v>
      </c>
      <c r="J93" s="108">
        <v>1469260.05</v>
      </c>
      <c r="K93" s="108">
        <v>3280</v>
      </c>
      <c r="L93" s="108"/>
      <c r="M93" s="130">
        <f t="shared" si="66"/>
        <v>0.23983127575367677</v>
      </c>
      <c r="N93" s="130">
        <f t="shared" si="67"/>
        <v>0.2401575785808856</v>
      </c>
      <c r="O93" s="130">
        <f t="shared" si="67"/>
        <v>0.14909090909090908</v>
      </c>
      <c r="P93" s="130"/>
    </row>
    <row r="94" spans="1:16" s="99" customFormat="1" ht="38.25" customHeight="1" x14ac:dyDescent="0.3">
      <c r="A94" s="19" t="s">
        <v>148</v>
      </c>
      <c r="B94" s="19" t="s">
        <v>147</v>
      </c>
      <c r="C94" s="19" t="s">
        <v>54</v>
      </c>
      <c r="D94" s="12" t="s">
        <v>149</v>
      </c>
      <c r="E94" s="108">
        <f t="shared" si="68"/>
        <v>3505400</v>
      </c>
      <c r="F94" s="110">
        <v>3493400</v>
      </c>
      <c r="G94" s="110">
        <v>12000</v>
      </c>
      <c r="H94" s="110">
        <v>12000</v>
      </c>
      <c r="I94" s="108">
        <f t="shared" si="69"/>
        <v>781444.21</v>
      </c>
      <c r="J94" s="108">
        <v>769444.21</v>
      </c>
      <c r="K94" s="108">
        <v>12000</v>
      </c>
      <c r="L94" s="108">
        <v>12000</v>
      </c>
      <c r="M94" s="130">
        <f t="shared" si="66"/>
        <v>0.22292583157414275</v>
      </c>
      <c r="N94" s="130">
        <f t="shared" si="67"/>
        <v>0.22025654376824869</v>
      </c>
      <c r="O94" s="130">
        <f t="shared" ref="O94" si="70">K94/G94</f>
        <v>1</v>
      </c>
      <c r="P94" s="130">
        <f t="shared" ref="P94" si="71">L94/H94</f>
        <v>1</v>
      </c>
    </row>
    <row r="95" spans="1:16" s="16" customFormat="1" ht="95.25" x14ac:dyDescent="0.3">
      <c r="A95" s="19" t="s">
        <v>309</v>
      </c>
      <c r="B95" s="19" t="s">
        <v>310</v>
      </c>
      <c r="C95" s="19" t="s">
        <v>42</v>
      </c>
      <c r="D95" s="12" t="s">
        <v>311</v>
      </c>
      <c r="E95" s="108">
        <f t="shared" si="68"/>
        <v>542200</v>
      </c>
      <c r="F95" s="110">
        <v>542200</v>
      </c>
      <c r="G95" s="110"/>
      <c r="H95" s="110"/>
      <c r="I95" s="108">
        <f t="shared" si="69"/>
        <v>139423.29</v>
      </c>
      <c r="J95" s="108">
        <v>139423.29</v>
      </c>
      <c r="K95" s="108"/>
      <c r="L95" s="108"/>
      <c r="M95" s="130">
        <f t="shared" si="66"/>
        <v>0.25714365547768353</v>
      </c>
      <c r="N95" s="130">
        <f t="shared" si="67"/>
        <v>0.25714365547768353</v>
      </c>
      <c r="O95" s="130"/>
      <c r="P95" s="130"/>
    </row>
    <row r="96" spans="1:16" s="16" customFormat="1" ht="63.75" x14ac:dyDescent="0.3">
      <c r="A96" s="19" t="s">
        <v>434</v>
      </c>
      <c r="B96" s="19" t="s">
        <v>435</v>
      </c>
      <c r="C96" s="50" t="s">
        <v>42</v>
      </c>
      <c r="D96" s="12" t="s">
        <v>436</v>
      </c>
      <c r="E96" s="108">
        <f t="shared" si="68"/>
        <v>29040</v>
      </c>
      <c r="F96" s="110">
        <v>29040</v>
      </c>
      <c r="G96" s="110"/>
      <c r="H96" s="110"/>
      <c r="I96" s="108">
        <f t="shared" si="69"/>
        <v>7260</v>
      </c>
      <c r="J96" s="108">
        <v>7260</v>
      </c>
      <c r="K96" s="108"/>
      <c r="L96" s="108"/>
      <c r="M96" s="130">
        <f t="shared" si="66"/>
        <v>0.25</v>
      </c>
      <c r="N96" s="130">
        <f t="shared" si="67"/>
        <v>0.25</v>
      </c>
      <c r="O96" s="130"/>
      <c r="P96" s="130"/>
    </row>
    <row r="97" spans="1:16" s="16" customFormat="1" ht="79.5" x14ac:dyDescent="0.3">
      <c r="A97" s="19" t="s">
        <v>312</v>
      </c>
      <c r="B97" s="19" t="s">
        <v>313</v>
      </c>
      <c r="C97" s="19" t="s">
        <v>68</v>
      </c>
      <c r="D97" s="12" t="s">
        <v>314</v>
      </c>
      <c r="E97" s="108">
        <f t="shared" si="68"/>
        <v>935000</v>
      </c>
      <c r="F97" s="108">
        <v>935000</v>
      </c>
      <c r="G97" s="108"/>
      <c r="H97" s="108"/>
      <c r="I97" s="108">
        <f t="shared" si="69"/>
        <v>335649.53</v>
      </c>
      <c r="J97" s="108">
        <v>335649.53</v>
      </c>
      <c r="K97" s="108"/>
      <c r="L97" s="108"/>
      <c r="M97" s="130">
        <f t="shared" si="66"/>
        <v>0.35898345454545455</v>
      </c>
      <c r="N97" s="130">
        <f t="shared" si="67"/>
        <v>0.35898345454545455</v>
      </c>
      <c r="O97" s="130"/>
      <c r="P97" s="130"/>
    </row>
    <row r="98" spans="1:16" s="16" customFormat="1" ht="48" x14ac:dyDescent="0.3">
      <c r="A98" s="19" t="s">
        <v>315</v>
      </c>
      <c r="B98" s="19" t="s">
        <v>316</v>
      </c>
      <c r="C98" s="19" t="s">
        <v>47</v>
      </c>
      <c r="D98" s="12" t="s">
        <v>317</v>
      </c>
      <c r="E98" s="108">
        <f t="shared" si="68"/>
        <v>50000</v>
      </c>
      <c r="F98" s="108">
        <v>50000</v>
      </c>
      <c r="G98" s="108"/>
      <c r="H98" s="108"/>
      <c r="I98" s="108">
        <f t="shared" si="69"/>
        <v>6357.56</v>
      </c>
      <c r="J98" s="108">
        <v>6357.56</v>
      </c>
      <c r="K98" s="108"/>
      <c r="L98" s="108"/>
      <c r="M98" s="130">
        <f t="shared" si="66"/>
        <v>0.12715120000000002</v>
      </c>
      <c r="N98" s="130">
        <f t="shared" si="67"/>
        <v>0.12715120000000002</v>
      </c>
      <c r="O98" s="130"/>
      <c r="P98" s="130"/>
    </row>
    <row r="99" spans="1:16" s="16" customFormat="1" ht="32.25" x14ac:dyDescent="0.3">
      <c r="A99" s="19" t="s">
        <v>322</v>
      </c>
      <c r="B99" s="19" t="s">
        <v>318</v>
      </c>
      <c r="C99" s="19" t="s">
        <v>33</v>
      </c>
      <c r="D99" s="12" t="s">
        <v>319</v>
      </c>
      <c r="E99" s="108">
        <f t="shared" si="68"/>
        <v>23978700</v>
      </c>
      <c r="F99" s="108">
        <v>23978700</v>
      </c>
      <c r="G99" s="108"/>
      <c r="H99" s="108"/>
      <c r="I99" s="108">
        <f t="shared" si="69"/>
        <v>4344548.62</v>
      </c>
      <c r="J99" s="108">
        <f>4238339.8+106208.82</f>
        <v>4344548.62</v>
      </c>
      <c r="K99" s="108"/>
      <c r="L99" s="108"/>
      <c r="M99" s="130">
        <f t="shared" si="66"/>
        <v>0.18118365966461902</v>
      </c>
      <c r="N99" s="130">
        <f t="shared" si="67"/>
        <v>0.18118365966461902</v>
      </c>
      <c r="O99" s="130"/>
      <c r="P99" s="130"/>
    </row>
    <row r="100" spans="1:16" s="95" customFormat="1" ht="32.25" x14ac:dyDescent="0.3">
      <c r="A100" s="25" t="s">
        <v>158</v>
      </c>
      <c r="B100" s="25"/>
      <c r="C100" s="25"/>
      <c r="D100" s="26" t="s">
        <v>15</v>
      </c>
      <c r="E100" s="107">
        <f>E101</f>
        <v>41105800</v>
      </c>
      <c r="F100" s="107">
        <f t="shared" ref="F100:L100" si="72">F101</f>
        <v>29812600</v>
      </c>
      <c r="G100" s="107">
        <f t="shared" si="72"/>
        <v>11293200</v>
      </c>
      <c r="H100" s="107">
        <f t="shared" si="72"/>
        <v>10151100</v>
      </c>
      <c r="I100" s="107">
        <f t="shared" si="72"/>
        <v>7004619.6799999997</v>
      </c>
      <c r="J100" s="107">
        <f t="shared" si="72"/>
        <v>6620844.4100000001</v>
      </c>
      <c r="K100" s="107">
        <f t="shared" si="72"/>
        <v>383775.27</v>
      </c>
      <c r="L100" s="107">
        <f t="shared" si="72"/>
        <v>230735.82</v>
      </c>
      <c r="M100" s="129">
        <f>I100/E100</f>
        <v>0.17040465530411766</v>
      </c>
      <c r="N100" s="129">
        <f t="shared" ref="N100:P100" si="73">J100/F100</f>
        <v>0.22208208643325306</v>
      </c>
      <c r="O100" s="129">
        <f t="shared" si="73"/>
        <v>3.3982863138880035E-2</v>
      </c>
      <c r="P100" s="129">
        <f t="shared" si="73"/>
        <v>2.273012973963413E-2</v>
      </c>
    </row>
    <row r="101" spans="1:16" s="122" customFormat="1" ht="32.25" x14ac:dyDescent="0.3">
      <c r="A101" s="25" t="s">
        <v>159</v>
      </c>
      <c r="B101" s="25"/>
      <c r="C101" s="25"/>
      <c r="D101" s="26" t="s">
        <v>15</v>
      </c>
      <c r="E101" s="107">
        <f t="shared" si="68"/>
        <v>41105800</v>
      </c>
      <c r="F101" s="107">
        <f>F102+F103+F104+F105+F106+F107+F108+F109</f>
        <v>29812600</v>
      </c>
      <c r="G101" s="107">
        <f t="shared" ref="G101:J101" si="74">G102+G103+G104+G105+G106+G107+G108+G109</f>
        <v>11293200</v>
      </c>
      <c r="H101" s="107">
        <f t="shared" si="74"/>
        <v>10151100</v>
      </c>
      <c r="I101" s="107">
        <f t="shared" si="69"/>
        <v>7004619.6799999997</v>
      </c>
      <c r="J101" s="107">
        <f t="shared" si="74"/>
        <v>6620844.4100000001</v>
      </c>
      <c r="K101" s="107">
        <f t="shared" ref="K101" si="75">K102+K103+K104+K105+K106+K107+K108+K109</f>
        <v>383775.27</v>
      </c>
      <c r="L101" s="107">
        <f t="shared" ref="L101" si="76">L102+L103+L104+L105+L106+L107+L108+L109</f>
        <v>230735.82</v>
      </c>
      <c r="M101" s="129">
        <f>I101/E101</f>
        <v>0.17040465530411766</v>
      </c>
      <c r="N101" s="129">
        <f t="shared" ref="N101" si="77">J101/F101</f>
        <v>0.22208208643325306</v>
      </c>
      <c r="O101" s="129">
        <f t="shared" ref="O101" si="78">K101/G101</f>
        <v>3.3982863138880035E-2</v>
      </c>
      <c r="P101" s="129">
        <f t="shared" ref="P101" si="79">L101/H101</f>
        <v>2.273012973963413E-2</v>
      </c>
    </row>
    <row r="102" spans="1:16" s="16" customFormat="1" ht="48" x14ac:dyDescent="0.3">
      <c r="A102" s="19" t="s">
        <v>160</v>
      </c>
      <c r="B102" s="19" t="s">
        <v>124</v>
      </c>
      <c r="C102" s="19" t="s">
        <v>32</v>
      </c>
      <c r="D102" s="18" t="s">
        <v>126</v>
      </c>
      <c r="E102" s="108">
        <f t="shared" si="68"/>
        <v>530700</v>
      </c>
      <c r="F102" s="108">
        <v>530700</v>
      </c>
      <c r="G102" s="108"/>
      <c r="H102" s="108"/>
      <c r="I102" s="108">
        <f t="shared" si="69"/>
        <v>167035.85</v>
      </c>
      <c r="J102" s="108">
        <v>167035.85</v>
      </c>
      <c r="K102" s="108"/>
      <c r="L102" s="108"/>
      <c r="M102" s="130">
        <f>I102/E102</f>
        <v>0.31474627850009423</v>
      </c>
      <c r="N102" s="130">
        <f>J102/F102</f>
        <v>0.31474627850009423</v>
      </c>
      <c r="O102" s="130"/>
      <c r="P102" s="130"/>
    </row>
    <row r="103" spans="1:16" s="16" customFormat="1" ht="63.75" x14ac:dyDescent="0.3">
      <c r="A103" s="19" t="s">
        <v>170</v>
      </c>
      <c r="B103" s="19" t="s">
        <v>169</v>
      </c>
      <c r="C103" s="19" t="s">
        <v>50</v>
      </c>
      <c r="D103" s="18" t="s">
        <v>171</v>
      </c>
      <c r="E103" s="108">
        <f t="shared" si="68"/>
        <v>14826000</v>
      </c>
      <c r="F103" s="108">
        <v>13936500</v>
      </c>
      <c r="G103" s="108">
        <v>889500</v>
      </c>
      <c r="H103" s="108"/>
      <c r="I103" s="108">
        <f t="shared" si="69"/>
        <v>3152840.71</v>
      </c>
      <c r="J103" s="108">
        <v>3035364.35</v>
      </c>
      <c r="K103" s="110">
        <f>117476.36</f>
        <v>117476.36</v>
      </c>
      <c r="L103" s="110"/>
      <c r="M103" s="130">
        <f t="shared" ref="M103:M108" si="80">I103/E103</f>
        <v>0.21265619249966275</v>
      </c>
      <c r="N103" s="130">
        <f t="shared" ref="N103:O108" si="81">J103/F103</f>
        <v>0.21779961611595453</v>
      </c>
      <c r="O103" s="130">
        <f t="shared" si="81"/>
        <v>0.13207010680157391</v>
      </c>
      <c r="P103" s="130"/>
    </row>
    <row r="104" spans="1:16" s="16" customFormat="1" ht="18.75" x14ac:dyDescent="0.3">
      <c r="A104" s="19" t="s">
        <v>162</v>
      </c>
      <c r="B104" s="19" t="s">
        <v>161</v>
      </c>
      <c r="C104" s="19" t="s">
        <v>95</v>
      </c>
      <c r="D104" s="12" t="s">
        <v>163</v>
      </c>
      <c r="E104" s="108">
        <f t="shared" si="68"/>
        <v>6855000</v>
      </c>
      <c r="F104" s="110">
        <v>5059800</v>
      </c>
      <c r="G104" s="110">
        <v>1795200</v>
      </c>
      <c r="H104" s="110">
        <v>1738200</v>
      </c>
      <c r="I104" s="108">
        <f t="shared" si="69"/>
        <v>1270271.95</v>
      </c>
      <c r="J104" s="108">
        <v>1108384.47</v>
      </c>
      <c r="K104" s="110">
        <f>147935.82+13951.66</f>
        <v>161887.48000000001</v>
      </c>
      <c r="L104" s="110">
        <v>147935.82</v>
      </c>
      <c r="M104" s="130">
        <f t="shared" si="80"/>
        <v>0.18530590080233406</v>
      </c>
      <c r="N104" s="130">
        <f t="shared" si="81"/>
        <v>0.21905697260761295</v>
      </c>
      <c r="O104" s="130">
        <f t="shared" ref="O104:O106" si="82">K104/G104</f>
        <v>9.0177963458110522E-2</v>
      </c>
      <c r="P104" s="130">
        <f t="shared" ref="P104:P106" si="83">L104/H104</f>
        <v>8.5108629616845011E-2</v>
      </c>
    </row>
    <row r="105" spans="1:16" s="16" customFormat="1" ht="18.75" x14ac:dyDescent="0.3">
      <c r="A105" s="19" t="s">
        <v>165</v>
      </c>
      <c r="B105" s="19" t="s">
        <v>164</v>
      </c>
      <c r="C105" s="19" t="s">
        <v>95</v>
      </c>
      <c r="D105" s="12" t="s">
        <v>166</v>
      </c>
      <c r="E105" s="108">
        <f t="shared" si="68"/>
        <v>1810600</v>
      </c>
      <c r="F105" s="110">
        <v>1684600</v>
      </c>
      <c r="G105" s="110">
        <v>126000</v>
      </c>
      <c r="H105" s="110">
        <v>94500</v>
      </c>
      <c r="I105" s="108">
        <f t="shared" si="69"/>
        <v>439640.92000000004</v>
      </c>
      <c r="J105" s="108">
        <v>360556.15</v>
      </c>
      <c r="K105" s="110">
        <f>72800+6284.77</f>
        <v>79084.77</v>
      </c>
      <c r="L105" s="110">
        <v>72800</v>
      </c>
      <c r="M105" s="130">
        <f t="shared" si="80"/>
        <v>0.24281504473655144</v>
      </c>
      <c r="N105" s="130">
        <f t="shared" si="81"/>
        <v>0.2140307194586252</v>
      </c>
      <c r="O105" s="130">
        <f t="shared" si="82"/>
        <v>0.62765690476190483</v>
      </c>
      <c r="P105" s="130">
        <f t="shared" si="83"/>
        <v>0.77037037037037037</v>
      </c>
    </row>
    <row r="106" spans="1:16" s="16" customFormat="1" ht="48" x14ac:dyDescent="0.3">
      <c r="A106" s="19" t="s">
        <v>167</v>
      </c>
      <c r="B106" s="19" t="s">
        <v>94</v>
      </c>
      <c r="C106" s="19" t="s">
        <v>96</v>
      </c>
      <c r="D106" s="12" t="s">
        <v>168</v>
      </c>
      <c r="E106" s="108">
        <f t="shared" si="68"/>
        <v>6998000</v>
      </c>
      <c r="F106" s="110">
        <v>6379200</v>
      </c>
      <c r="G106" s="110">
        <v>618800</v>
      </c>
      <c r="H106" s="110">
        <v>454700</v>
      </c>
      <c r="I106" s="108">
        <f t="shared" si="69"/>
        <v>1543325.02</v>
      </c>
      <c r="J106" s="108">
        <v>1517998.36</v>
      </c>
      <c r="K106" s="110">
        <f>10000+15326.66</f>
        <v>25326.66</v>
      </c>
      <c r="L106" s="110">
        <v>10000</v>
      </c>
      <c r="M106" s="130">
        <f t="shared" si="80"/>
        <v>0.22053801371820519</v>
      </c>
      <c r="N106" s="130">
        <f t="shared" si="81"/>
        <v>0.2379606157511914</v>
      </c>
      <c r="O106" s="130">
        <f t="shared" si="82"/>
        <v>4.0928668390433097E-2</v>
      </c>
      <c r="P106" s="130">
        <f t="shared" si="83"/>
        <v>2.1992522542335607E-2</v>
      </c>
    </row>
    <row r="107" spans="1:16" s="16" customFormat="1" ht="32.25" x14ac:dyDescent="0.3">
      <c r="A107" s="19" t="s">
        <v>323</v>
      </c>
      <c r="B107" s="19" t="s">
        <v>288</v>
      </c>
      <c r="C107" s="19" t="s">
        <v>97</v>
      </c>
      <c r="D107" s="12" t="s">
        <v>289</v>
      </c>
      <c r="E107" s="108">
        <f t="shared" si="68"/>
        <v>1115800</v>
      </c>
      <c r="F107" s="110">
        <v>1115800</v>
      </c>
      <c r="G107" s="110"/>
      <c r="H107" s="110"/>
      <c r="I107" s="108">
        <f t="shared" si="69"/>
        <v>273598.63</v>
      </c>
      <c r="J107" s="108">
        <v>273598.63</v>
      </c>
      <c r="K107" s="110"/>
      <c r="L107" s="110"/>
      <c r="M107" s="130">
        <f t="shared" si="80"/>
        <v>0.24520400609428214</v>
      </c>
      <c r="N107" s="130">
        <f t="shared" si="81"/>
        <v>0.24520400609428214</v>
      </c>
      <c r="O107" s="130"/>
      <c r="P107" s="130"/>
    </row>
    <row r="108" spans="1:16" s="16" customFormat="1" ht="18.75" x14ac:dyDescent="0.3">
      <c r="A108" s="19" t="s">
        <v>286</v>
      </c>
      <c r="B108" s="19" t="s">
        <v>287</v>
      </c>
      <c r="C108" s="19" t="s">
        <v>97</v>
      </c>
      <c r="D108" s="12" t="s">
        <v>290</v>
      </c>
      <c r="E108" s="108">
        <f t="shared" si="68"/>
        <v>1106000</v>
      </c>
      <c r="F108" s="110">
        <v>1106000</v>
      </c>
      <c r="G108" s="110"/>
      <c r="H108" s="110"/>
      <c r="I108" s="108">
        <f t="shared" si="69"/>
        <v>157906.6</v>
      </c>
      <c r="J108" s="108">
        <v>157906.6</v>
      </c>
      <c r="K108" s="110"/>
      <c r="L108" s="110"/>
      <c r="M108" s="130">
        <f t="shared" si="80"/>
        <v>0.14277269439421339</v>
      </c>
      <c r="N108" s="130">
        <f t="shared" si="81"/>
        <v>0.14277269439421339</v>
      </c>
      <c r="O108" s="130"/>
      <c r="P108" s="130"/>
    </row>
    <row r="109" spans="1:16" s="16" customFormat="1" ht="32.25" x14ac:dyDescent="0.3">
      <c r="A109" s="19" t="s">
        <v>414</v>
      </c>
      <c r="B109" s="19" t="s">
        <v>291</v>
      </c>
      <c r="C109" s="19" t="s">
        <v>58</v>
      </c>
      <c r="D109" s="18" t="s">
        <v>258</v>
      </c>
      <c r="E109" s="108">
        <f t="shared" si="68"/>
        <v>7863700</v>
      </c>
      <c r="F109" s="110"/>
      <c r="G109" s="110">
        <v>7863700</v>
      </c>
      <c r="H109" s="110">
        <v>7863700</v>
      </c>
      <c r="I109" s="108">
        <f t="shared" si="69"/>
        <v>0</v>
      </c>
      <c r="J109" s="108">
        <v>0</v>
      </c>
      <c r="K109" s="110">
        <v>0</v>
      </c>
      <c r="L109" s="110">
        <v>0</v>
      </c>
      <c r="M109" s="130">
        <f>I109/E109</f>
        <v>0</v>
      </c>
      <c r="N109" s="130"/>
      <c r="O109" s="130">
        <f>K109/G109</f>
        <v>0</v>
      </c>
      <c r="P109" s="130">
        <f>L109/H109</f>
        <v>0</v>
      </c>
    </row>
    <row r="110" spans="1:16" s="102" customFormat="1" ht="18.75" x14ac:dyDescent="0.3">
      <c r="A110" s="35"/>
      <c r="B110" s="35"/>
      <c r="C110" s="35"/>
      <c r="D110" s="83" t="s">
        <v>438</v>
      </c>
      <c r="E110" s="109">
        <f t="shared" si="68"/>
        <v>5863700</v>
      </c>
      <c r="F110" s="111"/>
      <c r="G110" s="111">
        <v>5863700</v>
      </c>
      <c r="H110" s="111">
        <v>5863700</v>
      </c>
      <c r="I110" s="109">
        <f t="shared" si="69"/>
        <v>0</v>
      </c>
      <c r="J110" s="109"/>
      <c r="K110" s="111"/>
      <c r="L110" s="111"/>
      <c r="M110" s="131">
        <f>I110/E110</f>
        <v>0</v>
      </c>
      <c r="N110" s="131"/>
      <c r="O110" s="131">
        <f>K110/G110</f>
        <v>0</v>
      </c>
      <c r="P110" s="131">
        <f>L110/H110</f>
        <v>0</v>
      </c>
    </row>
    <row r="111" spans="1:16" s="122" customFormat="1" ht="33.75" customHeight="1" x14ac:dyDescent="0.3">
      <c r="A111" s="25" t="s">
        <v>59</v>
      </c>
      <c r="B111" s="25"/>
      <c r="C111" s="25"/>
      <c r="D111" s="26" t="s">
        <v>18</v>
      </c>
      <c r="E111" s="107">
        <f>E112</f>
        <v>4362400</v>
      </c>
      <c r="F111" s="107">
        <f t="shared" ref="F111:L111" si="84">F112</f>
        <v>4352400</v>
      </c>
      <c r="G111" s="107">
        <f t="shared" si="84"/>
        <v>10000</v>
      </c>
      <c r="H111" s="107">
        <f t="shared" si="84"/>
        <v>10000</v>
      </c>
      <c r="I111" s="107">
        <f t="shared" si="84"/>
        <v>608015.62</v>
      </c>
      <c r="J111" s="107">
        <f t="shared" si="84"/>
        <v>608015.62</v>
      </c>
      <c r="K111" s="107">
        <f t="shared" si="84"/>
        <v>0</v>
      </c>
      <c r="L111" s="107">
        <f t="shared" si="84"/>
        <v>0</v>
      </c>
      <c r="M111" s="129">
        <f>I111/E111</f>
        <v>0.13937640289748762</v>
      </c>
      <c r="N111" s="129">
        <f t="shared" ref="N111:P111" si="85">J111/F111</f>
        <v>0.13969663174340594</v>
      </c>
      <c r="O111" s="129">
        <f t="shared" si="85"/>
        <v>0</v>
      </c>
      <c r="P111" s="129">
        <f t="shared" si="85"/>
        <v>0</v>
      </c>
    </row>
    <row r="112" spans="1:16" s="122" customFormat="1" ht="36" customHeight="1" x14ac:dyDescent="0.3">
      <c r="A112" s="25" t="s">
        <v>60</v>
      </c>
      <c r="B112" s="25"/>
      <c r="C112" s="25"/>
      <c r="D112" s="26" t="s">
        <v>18</v>
      </c>
      <c r="E112" s="107">
        <f t="shared" si="68"/>
        <v>4362400</v>
      </c>
      <c r="F112" s="107">
        <f>F113+F114+F115+F116+F117+F118+F119+F120</f>
        <v>4352400</v>
      </c>
      <c r="G112" s="107">
        <f t="shared" ref="G112:J112" si="86">G113+G114+G115+G116+G117+G118+G119+G120</f>
        <v>10000</v>
      </c>
      <c r="H112" s="107">
        <f t="shared" si="86"/>
        <v>10000</v>
      </c>
      <c r="I112" s="107">
        <f t="shared" si="69"/>
        <v>608015.62</v>
      </c>
      <c r="J112" s="107">
        <f t="shared" si="86"/>
        <v>608015.62</v>
      </c>
      <c r="K112" s="107">
        <f t="shared" ref="K112" si="87">K113+K114+K115+K116+K117+K118+K119+K120</f>
        <v>0</v>
      </c>
      <c r="L112" s="107">
        <f t="shared" ref="L112" si="88">L113+L114+L115+L116+L117+L118+L119+L120</f>
        <v>0</v>
      </c>
      <c r="M112" s="129">
        <f>I112/E112</f>
        <v>0.13937640289748762</v>
      </c>
      <c r="N112" s="129">
        <f t="shared" ref="N112:N113" si="89">J112/F112</f>
        <v>0.13969663174340594</v>
      </c>
      <c r="O112" s="129">
        <f t="shared" ref="O112:O113" si="90">K112/G112</f>
        <v>0</v>
      </c>
      <c r="P112" s="129">
        <f t="shared" ref="P112:P113" si="91">L112/H112</f>
        <v>0</v>
      </c>
    </row>
    <row r="113" spans="1:16" s="16" customFormat="1" ht="48" x14ac:dyDescent="0.3">
      <c r="A113" s="19" t="s">
        <v>172</v>
      </c>
      <c r="B113" s="19" t="s">
        <v>124</v>
      </c>
      <c r="C113" s="19" t="s">
        <v>32</v>
      </c>
      <c r="D113" s="18" t="s">
        <v>126</v>
      </c>
      <c r="E113" s="108">
        <f t="shared" si="68"/>
        <v>1231600</v>
      </c>
      <c r="F113" s="108">
        <v>1221600</v>
      </c>
      <c r="G113" s="108">
        <v>10000</v>
      </c>
      <c r="H113" s="108">
        <v>10000</v>
      </c>
      <c r="I113" s="108">
        <f t="shared" si="69"/>
        <v>282628.63</v>
      </c>
      <c r="J113" s="110">
        <v>282628.63</v>
      </c>
      <c r="K113" s="108"/>
      <c r="L113" s="108"/>
      <c r="M113" s="130">
        <f>I113/E113</f>
        <v>0.22948086229295225</v>
      </c>
      <c r="N113" s="130">
        <f t="shared" si="89"/>
        <v>0.23135938932547478</v>
      </c>
      <c r="O113" s="130">
        <f t="shared" si="90"/>
        <v>0</v>
      </c>
      <c r="P113" s="130">
        <f t="shared" si="91"/>
        <v>0</v>
      </c>
    </row>
    <row r="114" spans="1:16" s="16" customFormat="1" ht="18.75" x14ac:dyDescent="0.3">
      <c r="A114" s="19" t="s">
        <v>174</v>
      </c>
      <c r="B114" s="19" t="s">
        <v>173</v>
      </c>
      <c r="C114" s="19" t="s">
        <v>54</v>
      </c>
      <c r="D114" s="12" t="s">
        <v>63</v>
      </c>
      <c r="E114" s="108">
        <f t="shared" si="68"/>
        <v>270900</v>
      </c>
      <c r="F114" s="108">
        <v>270900</v>
      </c>
      <c r="G114" s="108"/>
      <c r="H114" s="108"/>
      <c r="I114" s="108">
        <f t="shared" si="69"/>
        <v>35819</v>
      </c>
      <c r="J114" s="110">
        <v>35819</v>
      </c>
      <c r="K114" s="108"/>
      <c r="L114" s="108"/>
      <c r="M114" s="130">
        <f t="shared" ref="M114:M120" si="92">I114/E114</f>
        <v>0.13222222222222221</v>
      </c>
      <c r="N114" s="130">
        <f t="shared" ref="N114:N121" si="93">J114/F114</f>
        <v>0.13222222222222221</v>
      </c>
      <c r="O114" s="130"/>
      <c r="P114" s="130"/>
    </row>
    <row r="115" spans="1:16" s="16" customFormat="1" ht="18.75" x14ac:dyDescent="0.3">
      <c r="A115" s="19" t="s">
        <v>176</v>
      </c>
      <c r="B115" s="19" t="s">
        <v>175</v>
      </c>
      <c r="C115" s="19" t="s">
        <v>54</v>
      </c>
      <c r="D115" s="12" t="s">
        <v>111</v>
      </c>
      <c r="E115" s="108">
        <f t="shared" si="68"/>
        <v>554400</v>
      </c>
      <c r="F115" s="108">
        <v>554400</v>
      </c>
      <c r="G115" s="108"/>
      <c r="H115" s="108"/>
      <c r="I115" s="108">
        <f t="shared" si="69"/>
        <v>5499.1</v>
      </c>
      <c r="J115" s="108">
        <v>5499.1</v>
      </c>
      <c r="K115" s="108"/>
      <c r="L115" s="108"/>
      <c r="M115" s="130">
        <f t="shared" si="92"/>
        <v>9.9190115440115443E-3</v>
      </c>
      <c r="N115" s="130">
        <f t="shared" si="93"/>
        <v>9.9190115440115443E-3</v>
      </c>
      <c r="O115" s="130"/>
      <c r="P115" s="130"/>
    </row>
    <row r="116" spans="1:16" s="16" customFormat="1" ht="79.5" x14ac:dyDescent="0.3">
      <c r="A116" s="19" t="s">
        <v>62</v>
      </c>
      <c r="B116" s="19" t="s">
        <v>61</v>
      </c>
      <c r="C116" s="19" t="s">
        <v>54</v>
      </c>
      <c r="D116" s="12" t="s">
        <v>55</v>
      </c>
      <c r="E116" s="108">
        <f t="shared" si="68"/>
        <v>199200</v>
      </c>
      <c r="F116" s="108">
        <v>199200</v>
      </c>
      <c r="G116" s="108"/>
      <c r="H116" s="108"/>
      <c r="I116" s="108">
        <f t="shared" si="69"/>
        <v>0</v>
      </c>
      <c r="J116" s="108">
        <v>0</v>
      </c>
      <c r="K116" s="108"/>
      <c r="L116" s="108"/>
      <c r="M116" s="130">
        <f t="shared" si="92"/>
        <v>0</v>
      </c>
      <c r="N116" s="130">
        <f t="shared" si="93"/>
        <v>0</v>
      </c>
      <c r="O116" s="130"/>
      <c r="P116" s="130"/>
    </row>
    <row r="117" spans="1:16" s="16" customFormat="1" ht="32.25" x14ac:dyDescent="0.3">
      <c r="A117" s="19" t="s">
        <v>426</v>
      </c>
      <c r="B117" s="19" t="s">
        <v>318</v>
      </c>
      <c r="C117" s="19" t="s">
        <v>33</v>
      </c>
      <c r="D117" s="12" t="s">
        <v>319</v>
      </c>
      <c r="E117" s="108">
        <f t="shared" si="68"/>
        <v>108200</v>
      </c>
      <c r="F117" s="108">
        <v>108200</v>
      </c>
      <c r="G117" s="108"/>
      <c r="H117" s="108"/>
      <c r="I117" s="108">
        <f t="shared" si="69"/>
        <v>24954.77</v>
      </c>
      <c r="J117" s="108">
        <v>24954.77</v>
      </c>
      <c r="K117" s="108"/>
      <c r="L117" s="108"/>
      <c r="M117" s="130">
        <f t="shared" si="92"/>
        <v>0.23063558225508318</v>
      </c>
      <c r="N117" s="130">
        <f t="shared" si="93"/>
        <v>0.23063558225508318</v>
      </c>
      <c r="O117" s="130"/>
      <c r="P117" s="130"/>
    </row>
    <row r="118" spans="1:16" s="16" customFormat="1" ht="32.25" x14ac:dyDescent="0.3">
      <c r="A118" s="19" t="s">
        <v>65</v>
      </c>
      <c r="B118" s="19" t="s">
        <v>64</v>
      </c>
      <c r="C118" s="19" t="s">
        <v>56</v>
      </c>
      <c r="D118" s="12" t="s">
        <v>102</v>
      </c>
      <c r="E118" s="108">
        <f t="shared" si="68"/>
        <v>560000</v>
      </c>
      <c r="F118" s="108">
        <v>560000</v>
      </c>
      <c r="G118" s="108"/>
      <c r="H118" s="108"/>
      <c r="I118" s="108">
        <f t="shared" si="69"/>
        <v>129066.29</v>
      </c>
      <c r="J118" s="108">
        <v>129066.29</v>
      </c>
      <c r="K118" s="108"/>
      <c r="L118" s="108"/>
      <c r="M118" s="130">
        <f t="shared" si="92"/>
        <v>0.23047551785714285</v>
      </c>
      <c r="N118" s="130">
        <f t="shared" si="93"/>
        <v>0.23047551785714285</v>
      </c>
      <c r="O118" s="130"/>
      <c r="P118" s="130"/>
    </row>
    <row r="119" spans="1:16" s="16" customFormat="1" ht="32.25" x14ac:dyDescent="0.3">
      <c r="A119" s="19" t="s">
        <v>104</v>
      </c>
      <c r="B119" s="19" t="s">
        <v>105</v>
      </c>
      <c r="C119" s="19" t="s">
        <v>56</v>
      </c>
      <c r="D119" s="12" t="s">
        <v>106</v>
      </c>
      <c r="E119" s="108">
        <f t="shared" si="68"/>
        <v>300000</v>
      </c>
      <c r="F119" s="108">
        <v>300000</v>
      </c>
      <c r="G119" s="108"/>
      <c r="H119" s="108"/>
      <c r="I119" s="108">
        <f t="shared" si="69"/>
        <v>72779.360000000001</v>
      </c>
      <c r="J119" s="108">
        <v>72779.360000000001</v>
      </c>
      <c r="K119" s="108"/>
      <c r="L119" s="108"/>
      <c r="M119" s="130">
        <f t="shared" si="92"/>
        <v>0.24259786666666666</v>
      </c>
      <c r="N119" s="130">
        <f t="shared" si="93"/>
        <v>0.24259786666666666</v>
      </c>
      <c r="O119" s="130"/>
      <c r="P119" s="130"/>
    </row>
    <row r="120" spans="1:16" s="16" customFormat="1" ht="63.75" x14ac:dyDescent="0.3">
      <c r="A120" s="19" t="s">
        <v>112</v>
      </c>
      <c r="B120" s="19" t="s">
        <v>113</v>
      </c>
      <c r="C120" s="19" t="s">
        <v>56</v>
      </c>
      <c r="D120" s="18" t="s">
        <v>114</v>
      </c>
      <c r="E120" s="108">
        <f t="shared" si="68"/>
        <v>1138100</v>
      </c>
      <c r="F120" s="108">
        <v>1138100</v>
      </c>
      <c r="G120" s="108"/>
      <c r="H120" s="108"/>
      <c r="I120" s="108">
        <f t="shared" si="69"/>
        <v>57268.47</v>
      </c>
      <c r="J120" s="108">
        <v>57268.47</v>
      </c>
      <c r="K120" s="108"/>
      <c r="L120" s="108"/>
      <c r="M120" s="130">
        <f t="shared" si="92"/>
        <v>5.0319365609348916E-2</v>
      </c>
      <c r="N120" s="130">
        <f t="shared" si="93"/>
        <v>5.0319365609348916E-2</v>
      </c>
      <c r="O120" s="130"/>
      <c r="P120" s="130"/>
    </row>
    <row r="121" spans="1:16" s="95" customFormat="1" ht="48" x14ac:dyDescent="0.3">
      <c r="A121" s="25" t="s">
        <v>177</v>
      </c>
      <c r="B121" s="25"/>
      <c r="C121" s="25"/>
      <c r="D121" s="26" t="s">
        <v>22</v>
      </c>
      <c r="E121" s="107">
        <f>E122</f>
        <v>145411698</v>
      </c>
      <c r="F121" s="107">
        <f t="shared" ref="F121:L121" si="94">F122</f>
        <v>67639700</v>
      </c>
      <c r="G121" s="107">
        <f t="shared" si="94"/>
        <v>77771998</v>
      </c>
      <c r="H121" s="107">
        <f t="shared" si="94"/>
        <v>77371998</v>
      </c>
      <c r="I121" s="107">
        <f t="shared" si="94"/>
        <v>16529686.190000001</v>
      </c>
      <c r="J121" s="107">
        <f t="shared" si="94"/>
        <v>14246439.940000001</v>
      </c>
      <c r="K121" s="107">
        <f t="shared" si="94"/>
        <v>2283246.25</v>
      </c>
      <c r="L121" s="107">
        <f t="shared" si="94"/>
        <v>2283246.25</v>
      </c>
      <c r="M121" s="129">
        <f>I121/E121</f>
        <v>0.11367507853460319</v>
      </c>
      <c r="N121" s="129">
        <f t="shared" si="93"/>
        <v>0.21062245899967033</v>
      </c>
      <c r="O121" s="129">
        <f t="shared" ref="O121:P121" si="95">K121/G121</f>
        <v>2.9358204864429482E-2</v>
      </c>
      <c r="P121" s="129">
        <f t="shared" si="95"/>
        <v>2.950998176368665E-2</v>
      </c>
    </row>
    <row r="122" spans="1:16" s="122" customFormat="1" ht="48" x14ac:dyDescent="0.3">
      <c r="A122" s="25" t="s">
        <v>178</v>
      </c>
      <c r="B122" s="25"/>
      <c r="C122" s="25"/>
      <c r="D122" s="26" t="s">
        <v>22</v>
      </c>
      <c r="E122" s="107">
        <f t="shared" si="68"/>
        <v>145411698</v>
      </c>
      <c r="F122" s="107">
        <f>F123+F124+F125+F126+F127+F129+F130+F131+F132+F133+F136+F137+F138+F140+F141</f>
        <v>67639700</v>
      </c>
      <c r="G122" s="107">
        <f t="shared" ref="G122:J122" si="96">G123+G124+G125+G126+G127+G129+G130+G131+G132+G133+G136+G137+G138+G140+G141</f>
        <v>77771998</v>
      </c>
      <c r="H122" s="107">
        <f t="shared" si="96"/>
        <v>77371998</v>
      </c>
      <c r="I122" s="107">
        <f t="shared" si="69"/>
        <v>16529686.190000001</v>
      </c>
      <c r="J122" s="107">
        <f t="shared" si="96"/>
        <v>14246439.940000001</v>
      </c>
      <c r="K122" s="107">
        <f t="shared" ref="K122" si="97">K123+K124+K125+K126+K127+K129+K130+K131+K132+K133+K136+K137+K138+K140+K141</f>
        <v>2283246.25</v>
      </c>
      <c r="L122" s="107">
        <f t="shared" ref="L122" si="98">L123+L124+L125+L126+L127+L129+L130+L131+L132+L133+L136+L137+L138+L140+L141</f>
        <v>2283246.25</v>
      </c>
      <c r="M122" s="129">
        <f>I122/E122</f>
        <v>0.11367507853460319</v>
      </c>
      <c r="N122" s="129">
        <f t="shared" ref="N122:N123" si="99">J122/F122</f>
        <v>0.21062245899967033</v>
      </c>
      <c r="O122" s="129">
        <f t="shared" ref="O122:O123" si="100">K122/G122</f>
        <v>2.9358204864429482E-2</v>
      </c>
      <c r="P122" s="129">
        <f t="shared" ref="P122:P123" si="101">L122/H122</f>
        <v>2.950998176368665E-2</v>
      </c>
    </row>
    <row r="123" spans="1:16" s="16" customFormat="1" ht="48" x14ac:dyDescent="0.3">
      <c r="A123" s="19" t="s">
        <v>179</v>
      </c>
      <c r="B123" s="19" t="s">
        <v>124</v>
      </c>
      <c r="C123" s="19" t="s">
        <v>32</v>
      </c>
      <c r="D123" s="18" t="s">
        <v>126</v>
      </c>
      <c r="E123" s="108">
        <f t="shared" si="68"/>
        <v>1702300</v>
      </c>
      <c r="F123" s="108">
        <v>1688300</v>
      </c>
      <c r="G123" s="108">
        <v>14000</v>
      </c>
      <c r="H123" s="108">
        <v>14000</v>
      </c>
      <c r="I123" s="108">
        <f t="shared" si="69"/>
        <v>395253.19</v>
      </c>
      <c r="J123" s="108">
        <v>395253.19</v>
      </c>
      <c r="K123" s="108">
        <v>0</v>
      </c>
      <c r="L123" s="108">
        <v>0</v>
      </c>
      <c r="M123" s="130">
        <f>I123/E123</f>
        <v>0.23218774011631321</v>
      </c>
      <c r="N123" s="130">
        <f t="shared" si="99"/>
        <v>0.23411312562933129</v>
      </c>
      <c r="O123" s="130">
        <f t="shared" si="100"/>
        <v>0</v>
      </c>
      <c r="P123" s="130">
        <f t="shared" si="101"/>
        <v>0</v>
      </c>
    </row>
    <row r="124" spans="1:16" ht="32.25" x14ac:dyDescent="0.3">
      <c r="A124" s="19" t="s">
        <v>390</v>
      </c>
      <c r="B124" s="19" t="s">
        <v>238</v>
      </c>
      <c r="C124" s="19" t="s">
        <v>239</v>
      </c>
      <c r="D124" s="18" t="s">
        <v>240</v>
      </c>
      <c r="E124" s="108">
        <f t="shared" si="68"/>
        <v>6000</v>
      </c>
      <c r="F124" s="108">
        <v>6000</v>
      </c>
      <c r="G124" s="108"/>
      <c r="H124" s="108"/>
      <c r="I124" s="108">
        <f t="shared" si="69"/>
        <v>0</v>
      </c>
      <c r="J124" s="108">
        <v>0</v>
      </c>
      <c r="K124" s="108"/>
      <c r="L124" s="108"/>
      <c r="M124" s="130">
        <f t="shared" ref="M124:M141" si="102">I124/E124</f>
        <v>0</v>
      </c>
      <c r="N124" s="130">
        <f t="shared" ref="N124:N138" si="103">J124/F124</f>
        <v>0</v>
      </c>
      <c r="O124" s="130"/>
      <c r="P124" s="130"/>
    </row>
    <row r="125" spans="1:16" s="16" customFormat="1" ht="18.75" x14ac:dyDescent="0.3">
      <c r="A125" s="19" t="s">
        <v>301</v>
      </c>
      <c r="B125" s="19" t="s">
        <v>300</v>
      </c>
      <c r="C125" s="19" t="s">
        <v>252</v>
      </c>
      <c r="D125" s="18" t="s">
        <v>253</v>
      </c>
      <c r="E125" s="108">
        <f t="shared" si="68"/>
        <v>50000</v>
      </c>
      <c r="F125" s="108">
        <v>50000</v>
      </c>
      <c r="G125" s="108"/>
      <c r="H125" s="108"/>
      <c r="I125" s="108">
        <f t="shared" si="69"/>
        <v>2566.7199999999998</v>
      </c>
      <c r="J125" s="108">
        <v>2566.7199999999998</v>
      </c>
      <c r="K125" s="108"/>
      <c r="L125" s="108"/>
      <c r="M125" s="130">
        <f t="shared" si="102"/>
        <v>5.1334399999999995E-2</v>
      </c>
      <c r="N125" s="130">
        <f t="shared" si="103"/>
        <v>5.1334399999999995E-2</v>
      </c>
      <c r="O125" s="130"/>
      <c r="P125" s="130"/>
    </row>
    <row r="126" spans="1:16" s="16" customFormat="1" ht="32.25" x14ac:dyDescent="0.3">
      <c r="A126" s="19" t="s">
        <v>201</v>
      </c>
      <c r="B126" s="19" t="s">
        <v>200</v>
      </c>
      <c r="C126" s="19" t="s">
        <v>98</v>
      </c>
      <c r="D126" s="12" t="s">
        <v>202</v>
      </c>
      <c r="E126" s="108">
        <f t="shared" si="68"/>
        <v>12495000</v>
      </c>
      <c r="F126" s="110">
        <v>520000</v>
      </c>
      <c r="G126" s="108">
        <f>10850000+1125000</f>
        <v>11975000</v>
      </c>
      <c r="H126" s="108">
        <f>10850000+1125000</f>
        <v>11975000</v>
      </c>
      <c r="I126" s="108">
        <f t="shared" si="69"/>
        <v>452309.82</v>
      </c>
      <c r="J126" s="108">
        <v>0</v>
      </c>
      <c r="K126" s="108">
        <f>452309.82</f>
        <v>452309.82</v>
      </c>
      <c r="L126" s="108">
        <f>452309.82</f>
        <v>452309.82</v>
      </c>
      <c r="M126" s="130">
        <f t="shared" si="102"/>
        <v>3.6199265306122448E-2</v>
      </c>
      <c r="N126" s="130">
        <f t="shared" si="103"/>
        <v>0</v>
      </c>
      <c r="O126" s="130">
        <f t="shared" ref="O126:O134" si="104">K126/G126</f>
        <v>3.7771174947807934E-2</v>
      </c>
      <c r="P126" s="130">
        <f t="shared" ref="P126:P134" si="105">L126/H126</f>
        <v>3.7771174947807934E-2</v>
      </c>
    </row>
    <row r="127" spans="1:16" s="16" customFormat="1" ht="32.25" x14ac:dyDescent="0.3">
      <c r="A127" s="19" t="s">
        <v>261</v>
      </c>
      <c r="B127" s="19" t="s">
        <v>260</v>
      </c>
      <c r="C127" s="19" t="s">
        <v>40</v>
      </c>
      <c r="D127" s="12" t="s">
        <v>262</v>
      </c>
      <c r="E127" s="108">
        <f t="shared" si="68"/>
        <v>6000000</v>
      </c>
      <c r="F127" s="110">
        <v>2500000</v>
      </c>
      <c r="G127" s="108">
        <v>3500000</v>
      </c>
      <c r="H127" s="108">
        <v>3500000</v>
      </c>
      <c r="I127" s="108">
        <f t="shared" si="69"/>
        <v>0</v>
      </c>
      <c r="J127" s="108">
        <v>0</v>
      </c>
      <c r="K127" s="108">
        <v>0</v>
      </c>
      <c r="L127" s="108">
        <v>0</v>
      </c>
      <c r="M127" s="130">
        <f t="shared" si="102"/>
        <v>0</v>
      </c>
      <c r="N127" s="130">
        <f t="shared" si="103"/>
        <v>0</v>
      </c>
      <c r="O127" s="130">
        <f t="shared" si="104"/>
        <v>0</v>
      </c>
      <c r="P127" s="130">
        <f t="shared" si="105"/>
        <v>0</v>
      </c>
    </row>
    <row r="128" spans="1:16" s="102" customFormat="1" ht="18.75" x14ac:dyDescent="0.3">
      <c r="A128" s="35"/>
      <c r="B128" s="35"/>
      <c r="C128" s="35"/>
      <c r="D128" s="36" t="s">
        <v>438</v>
      </c>
      <c r="E128" s="108">
        <f t="shared" si="68"/>
        <v>6000000</v>
      </c>
      <c r="F128" s="111">
        <v>2500000</v>
      </c>
      <c r="G128" s="109">
        <v>3500000</v>
      </c>
      <c r="H128" s="109">
        <v>3500000</v>
      </c>
      <c r="I128" s="108">
        <f t="shared" si="69"/>
        <v>0</v>
      </c>
      <c r="J128" s="109"/>
      <c r="K128" s="109"/>
      <c r="L128" s="109"/>
      <c r="M128" s="130">
        <f t="shared" si="102"/>
        <v>0</v>
      </c>
      <c r="N128" s="130">
        <f t="shared" si="103"/>
        <v>0</v>
      </c>
      <c r="O128" s="130">
        <f t="shared" si="104"/>
        <v>0</v>
      </c>
      <c r="P128" s="130">
        <f t="shared" si="105"/>
        <v>0</v>
      </c>
    </row>
    <row r="129" spans="1:16" s="16" customFormat="1" ht="32.25" x14ac:dyDescent="0.3">
      <c r="A129" s="19" t="s">
        <v>204</v>
      </c>
      <c r="B129" s="19" t="s">
        <v>203</v>
      </c>
      <c r="C129" s="19" t="s">
        <v>40</v>
      </c>
      <c r="D129" s="12" t="s">
        <v>205</v>
      </c>
      <c r="E129" s="108">
        <f t="shared" si="68"/>
        <v>2590000</v>
      </c>
      <c r="F129" s="110">
        <v>590000</v>
      </c>
      <c r="G129" s="108">
        <v>2000000</v>
      </c>
      <c r="H129" s="108">
        <v>2000000</v>
      </c>
      <c r="I129" s="108">
        <f t="shared" si="69"/>
        <v>18840.740000000002</v>
      </c>
      <c r="J129" s="108">
        <v>18840.740000000002</v>
      </c>
      <c r="K129" s="108">
        <v>0</v>
      </c>
      <c r="L129" s="108">
        <v>0</v>
      </c>
      <c r="M129" s="130">
        <f t="shared" si="102"/>
        <v>7.2744169884169894E-3</v>
      </c>
      <c r="N129" s="130">
        <f t="shared" si="103"/>
        <v>3.1933457627118647E-2</v>
      </c>
      <c r="O129" s="130">
        <f t="shared" si="104"/>
        <v>0</v>
      </c>
      <c r="P129" s="130">
        <f t="shared" si="105"/>
        <v>0</v>
      </c>
    </row>
    <row r="130" spans="1:16" s="16" customFormat="1" ht="32.25" x14ac:dyDescent="0.3">
      <c r="A130" s="19" t="s">
        <v>255</v>
      </c>
      <c r="B130" s="19" t="s">
        <v>254</v>
      </c>
      <c r="C130" s="19" t="s">
        <v>40</v>
      </c>
      <c r="D130" s="12" t="s">
        <v>256</v>
      </c>
      <c r="E130" s="108">
        <f t="shared" si="68"/>
        <v>10190000</v>
      </c>
      <c r="F130" s="110">
        <v>190000</v>
      </c>
      <c r="G130" s="108">
        <v>10000000</v>
      </c>
      <c r="H130" s="108">
        <v>10000000</v>
      </c>
      <c r="I130" s="108">
        <f t="shared" si="69"/>
        <v>233860</v>
      </c>
      <c r="J130" s="108">
        <v>188500</v>
      </c>
      <c r="K130" s="108">
        <v>45360</v>
      </c>
      <c r="L130" s="108">
        <v>45360</v>
      </c>
      <c r="M130" s="130">
        <f t="shared" si="102"/>
        <v>2.2949950932286554E-2</v>
      </c>
      <c r="N130" s="130">
        <f t="shared" si="103"/>
        <v>0.99210526315789471</v>
      </c>
      <c r="O130" s="130">
        <f t="shared" si="104"/>
        <v>4.5360000000000001E-3</v>
      </c>
      <c r="P130" s="130">
        <f t="shared" si="105"/>
        <v>4.5360000000000001E-3</v>
      </c>
    </row>
    <row r="131" spans="1:16" s="16" customFormat="1" ht="48" x14ac:dyDescent="0.3">
      <c r="A131" s="19" t="s">
        <v>332</v>
      </c>
      <c r="B131" s="19" t="s">
        <v>333</v>
      </c>
      <c r="C131" s="19" t="s">
        <v>40</v>
      </c>
      <c r="D131" s="12" t="s">
        <v>334</v>
      </c>
      <c r="E131" s="108">
        <f t="shared" si="68"/>
        <v>3175600</v>
      </c>
      <c r="F131" s="110"/>
      <c r="G131" s="108">
        <v>3175600</v>
      </c>
      <c r="H131" s="108">
        <v>3175600</v>
      </c>
      <c r="I131" s="108">
        <f t="shared" si="69"/>
        <v>0</v>
      </c>
      <c r="J131" s="108"/>
      <c r="K131" s="108">
        <v>0</v>
      </c>
      <c r="L131" s="108">
        <v>0</v>
      </c>
      <c r="M131" s="130">
        <f t="shared" si="102"/>
        <v>0</v>
      </c>
      <c r="N131" s="130"/>
      <c r="O131" s="130">
        <f t="shared" si="104"/>
        <v>0</v>
      </c>
      <c r="P131" s="130">
        <f t="shared" si="105"/>
        <v>0</v>
      </c>
    </row>
    <row r="132" spans="1:16" s="16" customFormat="1" ht="32.25" x14ac:dyDescent="0.3">
      <c r="A132" s="19" t="s">
        <v>335</v>
      </c>
      <c r="B132" s="19" t="s">
        <v>336</v>
      </c>
      <c r="C132" s="19" t="s">
        <v>40</v>
      </c>
      <c r="D132" s="12" t="s">
        <v>337</v>
      </c>
      <c r="E132" s="108">
        <f t="shared" si="68"/>
        <v>1540000</v>
      </c>
      <c r="F132" s="110">
        <v>200000</v>
      </c>
      <c r="G132" s="108">
        <v>1340000</v>
      </c>
      <c r="H132" s="108">
        <v>1340000</v>
      </c>
      <c r="I132" s="108">
        <f t="shared" si="69"/>
        <v>75000</v>
      </c>
      <c r="J132" s="108">
        <v>75000</v>
      </c>
      <c r="K132" s="108">
        <v>0</v>
      </c>
      <c r="L132" s="108">
        <v>0</v>
      </c>
      <c r="M132" s="130">
        <f t="shared" si="102"/>
        <v>4.8701298701298704E-2</v>
      </c>
      <c r="N132" s="130">
        <f t="shared" si="103"/>
        <v>0.375</v>
      </c>
      <c r="O132" s="130">
        <f t="shared" si="104"/>
        <v>0</v>
      </c>
      <c r="P132" s="130">
        <f t="shared" si="105"/>
        <v>0</v>
      </c>
    </row>
    <row r="133" spans="1:16" s="16" customFormat="1" ht="19.5" customHeight="1" x14ac:dyDescent="0.3">
      <c r="A133" s="19" t="s">
        <v>180</v>
      </c>
      <c r="B133" s="19" t="s">
        <v>99</v>
      </c>
      <c r="C133" s="19" t="s">
        <v>40</v>
      </c>
      <c r="D133" s="18" t="s">
        <v>121</v>
      </c>
      <c r="E133" s="108">
        <f t="shared" si="68"/>
        <v>64946904</v>
      </c>
      <c r="F133" s="108">
        <v>44995400</v>
      </c>
      <c r="G133" s="108">
        <f>17100000+2851504</f>
        <v>19951504</v>
      </c>
      <c r="H133" s="108">
        <f>17100000+2851504</f>
        <v>19951504</v>
      </c>
      <c r="I133" s="108">
        <f t="shared" si="69"/>
        <v>10422435.459999999</v>
      </c>
      <c r="J133" s="108">
        <f>3810300.34+1588521.05+3479216.73</f>
        <v>8878038.1199999992</v>
      </c>
      <c r="K133" s="108">
        <f>1387928.43+156468.91</f>
        <v>1544397.3399999999</v>
      </c>
      <c r="L133" s="108">
        <f>1387928.43+156468.91</f>
        <v>1544397.3399999999</v>
      </c>
      <c r="M133" s="130">
        <f t="shared" si="102"/>
        <v>0.1604762477977395</v>
      </c>
      <c r="N133" s="130">
        <f t="shared" si="103"/>
        <v>0.19730990545700225</v>
      </c>
      <c r="O133" s="130">
        <f t="shared" si="104"/>
        <v>7.7407564863280473E-2</v>
      </c>
      <c r="P133" s="130">
        <f t="shared" si="105"/>
        <v>7.7407564863280473E-2</v>
      </c>
    </row>
    <row r="134" spans="1:16" s="16" customFormat="1" ht="18.75" hidden="1" x14ac:dyDescent="0.3">
      <c r="A134" s="19" t="s">
        <v>380</v>
      </c>
      <c r="B134" s="19" t="s">
        <v>211</v>
      </c>
      <c r="C134" s="19" t="s">
        <v>115</v>
      </c>
      <c r="D134" s="18" t="s">
        <v>213</v>
      </c>
      <c r="E134" s="108">
        <f t="shared" si="68"/>
        <v>0</v>
      </c>
      <c r="F134" s="108"/>
      <c r="G134" s="108"/>
      <c r="H134" s="108"/>
      <c r="I134" s="108">
        <f t="shared" si="69"/>
        <v>0</v>
      </c>
      <c r="J134" s="108"/>
      <c r="K134" s="108"/>
      <c r="L134" s="108"/>
      <c r="M134" s="130" t="e">
        <f t="shared" si="102"/>
        <v>#DIV/0!</v>
      </c>
      <c r="N134" s="130" t="e">
        <f t="shared" si="103"/>
        <v>#DIV/0!</v>
      </c>
      <c r="O134" s="130" t="e">
        <f t="shared" si="104"/>
        <v>#DIV/0!</v>
      </c>
      <c r="P134" s="130" t="e">
        <f t="shared" si="105"/>
        <v>#DIV/0!</v>
      </c>
    </row>
    <row r="135" spans="1:16" s="102" customFormat="1" ht="18.75" x14ac:dyDescent="0.3">
      <c r="A135" s="35"/>
      <c r="B135" s="35"/>
      <c r="C135" s="35"/>
      <c r="D135" s="83" t="s">
        <v>438</v>
      </c>
      <c r="E135" s="108">
        <f t="shared" si="68"/>
        <v>2500000</v>
      </c>
      <c r="F135" s="109"/>
      <c r="G135" s="109">
        <v>2500000</v>
      </c>
      <c r="H135" s="109">
        <v>2500000</v>
      </c>
      <c r="I135" s="108">
        <f t="shared" si="69"/>
        <v>0</v>
      </c>
      <c r="J135" s="109"/>
      <c r="K135" s="109"/>
      <c r="L135" s="109"/>
      <c r="M135" s="130"/>
      <c r="N135" s="130"/>
      <c r="O135" s="130"/>
      <c r="P135" s="130"/>
    </row>
    <row r="136" spans="1:16" s="16" customFormat="1" ht="32.25" x14ac:dyDescent="0.3">
      <c r="A136" s="19" t="s">
        <v>264</v>
      </c>
      <c r="B136" s="19" t="s">
        <v>263</v>
      </c>
      <c r="C136" s="19" t="s">
        <v>265</v>
      </c>
      <c r="D136" s="12" t="s">
        <v>266</v>
      </c>
      <c r="E136" s="108">
        <f t="shared" si="68"/>
        <v>400000</v>
      </c>
      <c r="F136" s="108">
        <v>400000</v>
      </c>
      <c r="G136" s="108"/>
      <c r="H136" s="108"/>
      <c r="I136" s="108">
        <f t="shared" si="69"/>
        <v>199999.97</v>
      </c>
      <c r="J136" s="108">
        <v>199999.97</v>
      </c>
      <c r="K136" s="108"/>
      <c r="L136" s="108"/>
      <c r="M136" s="130">
        <f t="shared" si="102"/>
        <v>0.49999992500000001</v>
      </c>
      <c r="N136" s="130">
        <f t="shared" si="103"/>
        <v>0.49999992500000001</v>
      </c>
      <c r="O136" s="130"/>
      <c r="P136" s="130"/>
    </row>
    <row r="137" spans="1:16" s="16" customFormat="1" ht="32.25" x14ac:dyDescent="0.3">
      <c r="A137" s="19" t="s">
        <v>292</v>
      </c>
      <c r="B137" s="19" t="s">
        <v>291</v>
      </c>
      <c r="C137" s="19" t="s">
        <v>58</v>
      </c>
      <c r="D137" s="18" t="s">
        <v>258</v>
      </c>
      <c r="E137" s="108">
        <f t="shared" si="68"/>
        <v>7000000</v>
      </c>
      <c r="F137" s="108"/>
      <c r="G137" s="108">
        <v>7000000</v>
      </c>
      <c r="H137" s="108">
        <v>7000000</v>
      </c>
      <c r="I137" s="108">
        <f t="shared" si="69"/>
        <v>0</v>
      </c>
      <c r="J137" s="108"/>
      <c r="K137" s="108">
        <v>0</v>
      </c>
      <c r="L137" s="108">
        <v>0</v>
      </c>
      <c r="M137" s="130">
        <f t="shared" si="102"/>
        <v>0</v>
      </c>
      <c r="N137" s="130"/>
      <c r="O137" s="130">
        <f>K137/G137</f>
        <v>0</v>
      </c>
      <c r="P137" s="130">
        <f>L137/H137</f>
        <v>0</v>
      </c>
    </row>
    <row r="138" spans="1:16" s="16" customFormat="1" ht="48" x14ac:dyDescent="0.3">
      <c r="A138" s="19" t="s">
        <v>257</v>
      </c>
      <c r="B138" s="19" t="s">
        <v>198</v>
      </c>
      <c r="C138" s="19" t="s">
        <v>100</v>
      </c>
      <c r="D138" s="12" t="s">
        <v>199</v>
      </c>
      <c r="E138" s="108">
        <f t="shared" si="68"/>
        <v>32090000</v>
      </c>
      <c r="F138" s="108">
        <v>16500000</v>
      </c>
      <c r="G138" s="108">
        <v>15590000</v>
      </c>
      <c r="H138" s="108">
        <v>15590000</v>
      </c>
      <c r="I138" s="108">
        <f t="shared" si="69"/>
        <v>4499314.29</v>
      </c>
      <c r="J138" s="108">
        <f>4488241.2</f>
        <v>4488241.2</v>
      </c>
      <c r="K138" s="108">
        <v>11073.09</v>
      </c>
      <c r="L138" s="108">
        <v>11073.09</v>
      </c>
      <c r="M138" s="130">
        <f t="shared" si="102"/>
        <v>0.14020923309442193</v>
      </c>
      <c r="N138" s="130">
        <f t="shared" si="103"/>
        <v>0.27201461818181821</v>
      </c>
      <c r="O138" s="130">
        <f t="shared" ref="O138:O140" si="106">K138/G138</f>
        <v>7.1026876202694037E-4</v>
      </c>
      <c r="P138" s="130">
        <f t="shared" ref="P138:P140" si="107">L138/H138</f>
        <v>7.1026876202694037E-4</v>
      </c>
    </row>
    <row r="139" spans="1:16" s="102" customFormat="1" ht="18.75" x14ac:dyDescent="0.3">
      <c r="A139" s="35"/>
      <c r="B139" s="35"/>
      <c r="C139" s="35"/>
      <c r="D139" s="36" t="s">
        <v>438</v>
      </c>
      <c r="E139" s="108">
        <f t="shared" si="68"/>
        <v>3800000</v>
      </c>
      <c r="F139" s="109"/>
      <c r="G139" s="109">
        <v>3800000</v>
      </c>
      <c r="H139" s="109">
        <v>3800000</v>
      </c>
      <c r="I139" s="108">
        <f t="shared" si="69"/>
        <v>0</v>
      </c>
      <c r="J139" s="109"/>
      <c r="K139" s="109"/>
      <c r="L139" s="109"/>
      <c r="M139" s="130">
        <f t="shared" si="102"/>
        <v>0</v>
      </c>
      <c r="N139" s="130"/>
      <c r="O139" s="130">
        <f t="shared" si="106"/>
        <v>0</v>
      </c>
      <c r="P139" s="130">
        <f t="shared" si="107"/>
        <v>0</v>
      </c>
    </row>
    <row r="140" spans="1:16" s="16" customFormat="1" ht="18.75" x14ac:dyDescent="0.3">
      <c r="A140" s="19" t="s">
        <v>259</v>
      </c>
      <c r="B140" s="19" t="s">
        <v>196</v>
      </c>
      <c r="C140" s="19" t="s">
        <v>38</v>
      </c>
      <c r="D140" s="12" t="s">
        <v>39</v>
      </c>
      <c r="E140" s="108">
        <f t="shared" si="68"/>
        <v>2825894</v>
      </c>
      <c r="F140" s="108"/>
      <c r="G140" s="108">
        <f>1200000+1625894</f>
        <v>2825894</v>
      </c>
      <c r="H140" s="108">
        <f>1200000+1625894</f>
        <v>2825894</v>
      </c>
      <c r="I140" s="108">
        <f t="shared" si="69"/>
        <v>230106</v>
      </c>
      <c r="J140" s="108"/>
      <c r="K140" s="108">
        <v>230106</v>
      </c>
      <c r="L140" s="108">
        <v>230106</v>
      </c>
      <c r="M140" s="130">
        <f t="shared" si="102"/>
        <v>8.1427682708551705E-2</v>
      </c>
      <c r="N140" s="130"/>
      <c r="O140" s="130">
        <f t="shared" si="106"/>
        <v>8.1427682708551705E-2</v>
      </c>
      <c r="P140" s="130">
        <f t="shared" si="107"/>
        <v>8.1427682708551705E-2</v>
      </c>
    </row>
    <row r="141" spans="1:16" s="16" customFormat="1" ht="32.25" x14ac:dyDescent="0.3">
      <c r="A141" s="19" t="s">
        <v>283</v>
      </c>
      <c r="B141" s="19" t="s">
        <v>274</v>
      </c>
      <c r="C141" s="19" t="s">
        <v>101</v>
      </c>
      <c r="D141" s="18" t="s">
        <v>295</v>
      </c>
      <c r="E141" s="108">
        <f t="shared" si="68"/>
        <v>400000</v>
      </c>
      <c r="F141" s="108"/>
      <c r="G141" s="108">
        <v>400000</v>
      </c>
      <c r="H141" s="108"/>
      <c r="I141" s="108">
        <f t="shared" si="69"/>
        <v>0</v>
      </c>
      <c r="J141" s="108"/>
      <c r="K141" s="108"/>
      <c r="L141" s="108"/>
      <c r="M141" s="130">
        <f t="shared" si="102"/>
        <v>0</v>
      </c>
      <c r="N141" s="130"/>
      <c r="O141" s="130">
        <f t="shared" ref="O141" si="108">K141/G141*100</f>
        <v>0</v>
      </c>
      <c r="P141" s="130"/>
    </row>
    <row r="142" spans="1:16" s="95" customFormat="1" ht="34.5" customHeight="1" x14ac:dyDescent="0.3">
      <c r="A142" s="25" t="s">
        <v>66</v>
      </c>
      <c r="B142" s="25"/>
      <c r="C142" s="25"/>
      <c r="D142" s="26" t="s">
        <v>27</v>
      </c>
      <c r="E142" s="107">
        <f>E143</f>
        <v>64541800</v>
      </c>
      <c r="F142" s="107">
        <f t="shared" ref="F142:L142" si="109">F143</f>
        <v>1780900</v>
      </c>
      <c r="G142" s="107">
        <f t="shared" si="109"/>
        <v>62760900</v>
      </c>
      <c r="H142" s="107">
        <f t="shared" si="109"/>
        <v>62760900</v>
      </c>
      <c r="I142" s="107">
        <f t="shared" si="109"/>
        <v>16467218.950000001</v>
      </c>
      <c r="J142" s="107">
        <f t="shared" si="109"/>
        <v>484519.56</v>
      </c>
      <c r="K142" s="107">
        <f t="shared" si="109"/>
        <v>15982699.390000001</v>
      </c>
      <c r="L142" s="107">
        <f t="shared" si="109"/>
        <v>15982699.390000001</v>
      </c>
      <c r="M142" s="129">
        <f>I142/E142</f>
        <v>0.25514037337043594</v>
      </c>
      <c r="N142" s="129">
        <f t="shared" ref="N142:P142" si="110">J142/F142</f>
        <v>0.27206443932842944</v>
      </c>
      <c r="O142" s="129">
        <f t="shared" si="110"/>
        <v>0.25466013696425643</v>
      </c>
      <c r="P142" s="129">
        <f t="shared" si="110"/>
        <v>0.25466013696425643</v>
      </c>
    </row>
    <row r="143" spans="1:16" s="122" customFormat="1" ht="31.5" customHeight="1" x14ac:dyDescent="0.3">
      <c r="A143" s="25" t="s">
        <v>67</v>
      </c>
      <c r="B143" s="25"/>
      <c r="C143" s="25"/>
      <c r="D143" s="26" t="s">
        <v>27</v>
      </c>
      <c r="E143" s="107">
        <f t="shared" si="68"/>
        <v>64541800</v>
      </c>
      <c r="F143" s="107">
        <f>F144+F145+F146+F150</f>
        <v>1780900</v>
      </c>
      <c r="G143" s="107">
        <f t="shared" ref="G143:J143" si="111">G144+G145+G146+G150</f>
        <v>62760900</v>
      </c>
      <c r="H143" s="107">
        <f t="shared" si="111"/>
        <v>62760900</v>
      </c>
      <c r="I143" s="107">
        <f t="shared" si="69"/>
        <v>16467218.950000001</v>
      </c>
      <c r="J143" s="107">
        <f t="shared" si="111"/>
        <v>484519.56</v>
      </c>
      <c r="K143" s="107">
        <f t="shared" ref="K143" si="112">K144+K145+K146+K150</f>
        <v>15982699.390000001</v>
      </c>
      <c r="L143" s="107">
        <f t="shared" ref="L143" si="113">L144+L145+L146+L150</f>
        <v>15982699.390000001</v>
      </c>
      <c r="M143" s="129">
        <f>I143/E143</f>
        <v>0.25514037337043594</v>
      </c>
      <c r="N143" s="129">
        <f t="shared" ref="N143:N144" si="114">J143/F143</f>
        <v>0.27206443932842944</v>
      </c>
      <c r="O143" s="129">
        <f t="shared" ref="O143:O144" si="115">K143/G143</f>
        <v>0.25466013696425643</v>
      </c>
      <c r="P143" s="129">
        <f t="shared" ref="P143:P144" si="116">L143/H143</f>
        <v>0.25466013696425643</v>
      </c>
    </row>
    <row r="144" spans="1:16" s="16" customFormat="1" ht="48" x14ac:dyDescent="0.3">
      <c r="A144" s="19" t="s">
        <v>184</v>
      </c>
      <c r="B144" s="19" t="s">
        <v>124</v>
      </c>
      <c r="C144" s="19" t="s">
        <v>32</v>
      </c>
      <c r="D144" s="18" t="s">
        <v>126</v>
      </c>
      <c r="E144" s="108">
        <f t="shared" si="68"/>
        <v>1795900</v>
      </c>
      <c r="F144" s="108">
        <v>1780900</v>
      </c>
      <c r="G144" s="108">
        <v>15000</v>
      </c>
      <c r="H144" s="108">
        <v>15000</v>
      </c>
      <c r="I144" s="108">
        <f t="shared" si="69"/>
        <v>499497.56</v>
      </c>
      <c r="J144" s="108">
        <v>484519.56</v>
      </c>
      <c r="K144" s="108">
        <v>14978</v>
      </c>
      <c r="L144" s="108">
        <v>14978</v>
      </c>
      <c r="M144" s="130">
        <f>I144/E144</f>
        <v>0.27813216771535165</v>
      </c>
      <c r="N144" s="130">
        <f t="shared" si="114"/>
        <v>0.27206443932842944</v>
      </c>
      <c r="O144" s="130">
        <f t="shared" si="115"/>
        <v>0.99853333333333338</v>
      </c>
      <c r="P144" s="130">
        <f t="shared" si="116"/>
        <v>0.99853333333333338</v>
      </c>
    </row>
    <row r="145" spans="1:16" s="16" customFormat="1" ht="32.25" x14ac:dyDescent="0.3">
      <c r="A145" s="19" t="s">
        <v>269</v>
      </c>
      <c r="B145" s="19" t="s">
        <v>267</v>
      </c>
      <c r="C145" s="19" t="s">
        <v>98</v>
      </c>
      <c r="D145" s="18" t="s">
        <v>268</v>
      </c>
      <c r="E145" s="108">
        <f t="shared" si="68"/>
        <v>200000</v>
      </c>
      <c r="F145" s="108"/>
      <c r="G145" s="108">
        <v>200000</v>
      </c>
      <c r="H145" s="108">
        <v>200000</v>
      </c>
      <c r="I145" s="108">
        <f t="shared" si="69"/>
        <v>0</v>
      </c>
      <c r="J145" s="108"/>
      <c r="K145" s="108"/>
      <c r="L145" s="108"/>
      <c r="M145" s="130">
        <f>I145/E145</f>
        <v>0</v>
      </c>
      <c r="N145" s="130"/>
      <c r="O145" s="130">
        <f>K145/G145</f>
        <v>0</v>
      </c>
      <c r="P145" s="130">
        <f>L145/H145</f>
        <v>0</v>
      </c>
    </row>
    <row r="146" spans="1:16" s="16" customFormat="1" ht="36" customHeight="1" x14ac:dyDescent="0.3">
      <c r="A146" s="19" t="s">
        <v>293</v>
      </c>
      <c r="B146" s="19" t="s">
        <v>291</v>
      </c>
      <c r="C146" s="19" t="s">
        <v>58</v>
      </c>
      <c r="D146" s="18" t="s">
        <v>258</v>
      </c>
      <c r="E146" s="108">
        <f t="shared" si="68"/>
        <v>57545900</v>
      </c>
      <c r="F146" s="108"/>
      <c r="G146" s="108">
        <f>55545900+2000000</f>
        <v>57545900</v>
      </c>
      <c r="H146" s="108">
        <f>55545900+2000000</f>
        <v>57545900</v>
      </c>
      <c r="I146" s="108">
        <f t="shared" si="69"/>
        <v>12767721.390000001</v>
      </c>
      <c r="J146" s="108"/>
      <c r="K146" s="108">
        <f>3096765.29+9670956.1</f>
        <v>12767721.390000001</v>
      </c>
      <c r="L146" s="108">
        <f>3096765.29+9670956.1</f>
        <v>12767721.390000001</v>
      </c>
      <c r="M146" s="130">
        <f t="shared" ref="M146:M150" si="117">I146/E146</f>
        <v>0.22187021820842145</v>
      </c>
      <c r="N146" s="130"/>
      <c r="O146" s="130">
        <f t="shared" ref="O146:O151" si="118">K146/G146</f>
        <v>0.22187021820842145</v>
      </c>
      <c r="P146" s="130">
        <f t="shared" ref="P146:P150" si="119">L146/H146</f>
        <v>0.22187021820842145</v>
      </c>
    </row>
    <row r="147" spans="1:16" s="16" customFormat="1" ht="126.75" hidden="1" x14ac:dyDescent="0.3">
      <c r="A147" s="19" t="s">
        <v>371</v>
      </c>
      <c r="B147" s="19" t="s">
        <v>372</v>
      </c>
      <c r="C147" s="19" t="s">
        <v>58</v>
      </c>
      <c r="D147" s="18" t="s">
        <v>373</v>
      </c>
      <c r="E147" s="108">
        <f t="shared" ref="E147:E168" si="120">F147+G147</f>
        <v>0</v>
      </c>
      <c r="F147" s="108"/>
      <c r="G147" s="108"/>
      <c r="H147" s="108"/>
      <c r="I147" s="108">
        <f t="shared" ref="I147:I168" si="121">J147+K147</f>
        <v>0</v>
      </c>
      <c r="J147" s="108"/>
      <c r="K147" s="108"/>
      <c r="L147" s="108"/>
      <c r="M147" s="130" t="e">
        <f t="shared" si="117"/>
        <v>#DIV/0!</v>
      </c>
      <c r="N147" s="130"/>
      <c r="O147" s="130" t="e">
        <f t="shared" si="118"/>
        <v>#DIV/0!</v>
      </c>
      <c r="P147" s="130" t="e">
        <f t="shared" si="119"/>
        <v>#DIV/0!</v>
      </c>
    </row>
    <row r="148" spans="1:16" s="16" customFormat="1" ht="53.25" hidden="1" customHeight="1" x14ac:dyDescent="0.3">
      <c r="A148" s="19" t="s">
        <v>408</v>
      </c>
      <c r="B148" s="19" t="s">
        <v>194</v>
      </c>
      <c r="C148" s="19" t="s">
        <v>36</v>
      </c>
      <c r="D148" s="12" t="s">
        <v>299</v>
      </c>
      <c r="E148" s="108">
        <f t="shared" si="120"/>
        <v>0</v>
      </c>
      <c r="F148" s="108"/>
      <c r="G148" s="108"/>
      <c r="H148" s="108"/>
      <c r="I148" s="108">
        <f t="shared" si="121"/>
        <v>0</v>
      </c>
      <c r="J148" s="108"/>
      <c r="K148" s="108"/>
      <c r="L148" s="112"/>
      <c r="M148" s="130" t="e">
        <f t="shared" si="117"/>
        <v>#DIV/0!</v>
      </c>
      <c r="N148" s="130"/>
      <c r="O148" s="130" t="e">
        <f t="shared" si="118"/>
        <v>#DIV/0!</v>
      </c>
      <c r="P148" s="130" t="e">
        <f t="shared" si="119"/>
        <v>#DIV/0!</v>
      </c>
    </row>
    <row r="149" spans="1:16" s="102" customFormat="1" ht="24" customHeight="1" x14ac:dyDescent="0.3">
      <c r="A149" s="35"/>
      <c r="B149" s="35"/>
      <c r="C149" s="35"/>
      <c r="D149" s="36" t="s">
        <v>438</v>
      </c>
      <c r="E149" s="108">
        <f t="shared" si="120"/>
        <v>7430000</v>
      </c>
      <c r="F149" s="109"/>
      <c r="G149" s="109">
        <v>7430000</v>
      </c>
      <c r="H149" s="109">
        <v>7430000</v>
      </c>
      <c r="I149" s="108">
        <f t="shared" si="121"/>
        <v>0</v>
      </c>
      <c r="J149" s="109"/>
      <c r="K149" s="109"/>
      <c r="L149" s="119"/>
      <c r="M149" s="130">
        <f t="shared" si="117"/>
        <v>0</v>
      </c>
      <c r="N149" s="130"/>
      <c r="O149" s="130">
        <f t="shared" si="118"/>
        <v>0</v>
      </c>
      <c r="P149" s="130">
        <f t="shared" si="119"/>
        <v>0</v>
      </c>
    </row>
    <row r="150" spans="1:16" s="16" customFormat="1" ht="36.75" customHeight="1" x14ac:dyDescent="0.3">
      <c r="A150" s="19" t="s">
        <v>271</v>
      </c>
      <c r="B150" s="19" t="s">
        <v>270</v>
      </c>
      <c r="C150" s="19" t="s">
        <v>273</v>
      </c>
      <c r="D150" s="18" t="s">
        <v>272</v>
      </c>
      <c r="E150" s="108">
        <f t="shared" si="120"/>
        <v>5000000</v>
      </c>
      <c r="F150" s="108"/>
      <c r="G150" s="108">
        <v>5000000</v>
      </c>
      <c r="H150" s="108">
        <v>5000000</v>
      </c>
      <c r="I150" s="108">
        <f t="shared" si="121"/>
        <v>3200000</v>
      </c>
      <c r="J150" s="108"/>
      <c r="K150" s="108">
        <v>3200000</v>
      </c>
      <c r="L150" s="108">
        <v>3200000</v>
      </c>
      <c r="M150" s="130">
        <f t="shared" si="117"/>
        <v>0.64</v>
      </c>
      <c r="N150" s="130"/>
      <c r="O150" s="130">
        <f t="shared" si="118"/>
        <v>0.64</v>
      </c>
      <c r="P150" s="130">
        <f t="shared" si="119"/>
        <v>0.64</v>
      </c>
    </row>
    <row r="151" spans="1:16" s="122" customFormat="1" ht="48" x14ac:dyDescent="0.3">
      <c r="A151" s="25" t="s">
        <v>185</v>
      </c>
      <c r="B151" s="25"/>
      <c r="C151" s="25"/>
      <c r="D151" s="26" t="s">
        <v>23</v>
      </c>
      <c r="E151" s="107">
        <f>E152</f>
        <v>10548600</v>
      </c>
      <c r="F151" s="107">
        <f t="shared" ref="F151:L151" si="122">F152</f>
        <v>7593600</v>
      </c>
      <c r="G151" s="107">
        <f t="shared" si="122"/>
        <v>2955000</v>
      </c>
      <c r="H151" s="107">
        <f t="shared" si="122"/>
        <v>2955000</v>
      </c>
      <c r="I151" s="107">
        <f t="shared" si="122"/>
        <v>1988377.6600000001</v>
      </c>
      <c r="J151" s="107">
        <f t="shared" si="122"/>
        <v>1948527.6600000001</v>
      </c>
      <c r="K151" s="107">
        <f t="shared" si="122"/>
        <v>39850</v>
      </c>
      <c r="L151" s="107">
        <f t="shared" si="122"/>
        <v>39850</v>
      </c>
      <c r="M151" s="129">
        <f>I151/E151</f>
        <v>0.18849682991107827</v>
      </c>
      <c r="N151" s="129">
        <f t="shared" ref="N151" si="123">J151/F151</f>
        <v>0.25660130372945639</v>
      </c>
      <c r="O151" s="129">
        <f t="shared" si="118"/>
        <v>1.3485617597292724E-2</v>
      </c>
      <c r="P151" s="129">
        <f>L151/H151</f>
        <v>1.3485617597292724E-2</v>
      </c>
    </row>
    <row r="152" spans="1:16" s="122" customFormat="1" ht="48" x14ac:dyDescent="0.3">
      <c r="A152" s="25" t="s">
        <v>186</v>
      </c>
      <c r="B152" s="25"/>
      <c r="C152" s="25"/>
      <c r="D152" s="26" t="s">
        <v>23</v>
      </c>
      <c r="E152" s="107">
        <f t="shared" si="120"/>
        <v>10548600</v>
      </c>
      <c r="F152" s="107">
        <f>F153+F154+F155+F156+F157+F158+F159+F160</f>
        <v>7593600</v>
      </c>
      <c r="G152" s="107">
        <f t="shared" ref="G152:J152" si="124">G153+G154+G155+G156+G157+G158+G159+G160</f>
        <v>2955000</v>
      </c>
      <c r="H152" s="107">
        <f t="shared" si="124"/>
        <v>2955000</v>
      </c>
      <c r="I152" s="107">
        <f t="shared" si="121"/>
        <v>1988377.6600000001</v>
      </c>
      <c r="J152" s="107">
        <f t="shared" si="124"/>
        <v>1948527.6600000001</v>
      </c>
      <c r="K152" s="107">
        <f t="shared" ref="K152" si="125">K153+K154+K155+K156+K157+K158+K159+K160</f>
        <v>39850</v>
      </c>
      <c r="L152" s="107">
        <f t="shared" ref="L152" si="126">L153+L154+L155+L156+L157+L158+L159+L160</f>
        <v>39850</v>
      </c>
      <c r="M152" s="129">
        <f>I152/E152</f>
        <v>0.18849682991107827</v>
      </c>
      <c r="N152" s="129">
        <f t="shared" ref="N152:N153" si="127">J152/F152</f>
        <v>0.25660130372945639</v>
      </c>
      <c r="O152" s="129">
        <f t="shared" ref="O152:O153" si="128">K152/G152</f>
        <v>1.3485617597292724E-2</v>
      </c>
      <c r="P152" s="129">
        <f t="shared" ref="P152:P153" si="129">L152/H152</f>
        <v>1.3485617597292724E-2</v>
      </c>
    </row>
    <row r="153" spans="1:16" s="16" customFormat="1" ht="48" x14ac:dyDescent="0.3">
      <c r="A153" s="19" t="s">
        <v>187</v>
      </c>
      <c r="B153" s="19" t="s">
        <v>124</v>
      </c>
      <c r="C153" s="19" t="s">
        <v>32</v>
      </c>
      <c r="D153" s="18" t="s">
        <v>126</v>
      </c>
      <c r="E153" s="108">
        <f t="shared" si="120"/>
        <v>2223100</v>
      </c>
      <c r="F153" s="108">
        <v>2193100</v>
      </c>
      <c r="G153" s="108">
        <v>30000</v>
      </c>
      <c r="H153" s="108">
        <v>30000</v>
      </c>
      <c r="I153" s="108">
        <f t="shared" si="121"/>
        <v>725991.42</v>
      </c>
      <c r="J153" s="108">
        <v>725991.42</v>
      </c>
      <c r="K153" s="108">
        <v>0</v>
      </c>
      <c r="L153" s="108">
        <v>0</v>
      </c>
      <c r="M153" s="130">
        <f>I153/E153</f>
        <v>0.32656714497773381</v>
      </c>
      <c r="N153" s="130">
        <f t="shared" si="127"/>
        <v>0.33103434407915738</v>
      </c>
      <c r="O153" s="130">
        <f t="shared" si="128"/>
        <v>0</v>
      </c>
      <c r="P153" s="130">
        <f t="shared" si="129"/>
        <v>0</v>
      </c>
    </row>
    <row r="154" spans="1:16" s="16" customFormat="1" ht="18.75" x14ac:dyDescent="0.3">
      <c r="A154" s="19" t="s">
        <v>206</v>
      </c>
      <c r="B154" s="19" t="s">
        <v>41</v>
      </c>
      <c r="C154" s="19" t="s">
        <v>37</v>
      </c>
      <c r="D154" s="18" t="s">
        <v>207</v>
      </c>
      <c r="E154" s="108">
        <f t="shared" si="120"/>
        <v>100500</v>
      </c>
      <c r="F154" s="108">
        <v>100500</v>
      </c>
      <c r="G154" s="108"/>
      <c r="H154" s="108"/>
      <c r="I154" s="108">
        <f t="shared" si="121"/>
        <v>384.2</v>
      </c>
      <c r="J154" s="108">
        <v>384.2</v>
      </c>
      <c r="K154" s="108"/>
      <c r="L154" s="108"/>
      <c r="M154" s="130">
        <f t="shared" ref="M154:N161" si="130">I154/E154</f>
        <v>3.8228855721393032E-3</v>
      </c>
      <c r="N154" s="130">
        <f t="shared" ref="N154:N155" si="131">J154/F154</f>
        <v>3.8228855721393032E-3</v>
      </c>
      <c r="O154" s="130"/>
      <c r="P154" s="130"/>
    </row>
    <row r="155" spans="1:16" s="16" customFormat="1" ht="21.75" customHeight="1" x14ac:dyDescent="0.3">
      <c r="A155" s="19" t="s">
        <v>212</v>
      </c>
      <c r="B155" s="19" t="s">
        <v>211</v>
      </c>
      <c r="C155" s="19" t="s">
        <v>115</v>
      </c>
      <c r="D155" s="18" t="s">
        <v>213</v>
      </c>
      <c r="E155" s="108">
        <f t="shared" si="120"/>
        <v>400000</v>
      </c>
      <c r="F155" s="108">
        <v>300000</v>
      </c>
      <c r="G155" s="108">
        <v>100000</v>
      </c>
      <c r="H155" s="108">
        <v>100000</v>
      </c>
      <c r="I155" s="108">
        <f t="shared" si="121"/>
        <v>0</v>
      </c>
      <c r="J155" s="108">
        <v>0</v>
      </c>
      <c r="K155" s="108">
        <v>0</v>
      </c>
      <c r="L155" s="108">
        <v>0</v>
      </c>
      <c r="M155" s="130">
        <f t="shared" si="130"/>
        <v>0</v>
      </c>
      <c r="N155" s="130">
        <f t="shared" si="131"/>
        <v>0</v>
      </c>
      <c r="O155" s="130">
        <f t="shared" ref="O155" si="132">K155/G155</f>
        <v>0</v>
      </c>
      <c r="P155" s="130">
        <f t="shared" ref="P155" si="133">L155/H155</f>
        <v>0</v>
      </c>
    </row>
    <row r="156" spans="1:16" s="16" customFormat="1" ht="32.25" x14ac:dyDescent="0.3">
      <c r="A156" s="19" t="s">
        <v>294</v>
      </c>
      <c r="B156" s="19" t="s">
        <v>291</v>
      </c>
      <c r="C156" s="19" t="s">
        <v>58</v>
      </c>
      <c r="D156" s="18" t="s">
        <v>258</v>
      </c>
      <c r="E156" s="108">
        <f t="shared" si="120"/>
        <v>1625000</v>
      </c>
      <c r="F156" s="108"/>
      <c r="G156" s="108">
        <v>1625000</v>
      </c>
      <c r="H156" s="108">
        <v>1625000</v>
      </c>
      <c r="I156" s="108">
        <f t="shared" si="121"/>
        <v>0</v>
      </c>
      <c r="J156" s="108"/>
      <c r="K156" s="108">
        <v>0</v>
      </c>
      <c r="L156" s="108">
        <v>0</v>
      </c>
      <c r="M156" s="130">
        <f t="shared" si="130"/>
        <v>0</v>
      </c>
      <c r="N156" s="130"/>
      <c r="O156" s="130">
        <f t="shared" ref="O156:O161" si="134">K156/G156</f>
        <v>0</v>
      </c>
      <c r="P156" s="130">
        <f t="shared" ref="P156:P161" si="135">L156/H156</f>
        <v>0</v>
      </c>
    </row>
    <row r="157" spans="1:16" s="16" customFormat="1" ht="32.25" x14ac:dyDescent="0.3">
      <c r="A157" s="19" t="s">
        <v>209</v>
      </c>
      <c r="B157" s="19" t="s">
        <v>208</v>
      </c>
      <c r="C157" s="19" t="s">
        <v>58</v>
      </c>
      <c r="D157" s="18" t="s">
        <v>210</v>
      </c>
      <c r="E157" s="108">
        <f t="shared" si="120"/>
        <v>300000</v>
      </c>
      <c r="F157" s="108"/>
      <c r="G157" s="108">
        <v>300000</v>
      </c>
      <c r="H157" s="108">
        <v>300000</v>
      </c>
      <c r="I157" s="108">
        <f t="shared" si="121"/>
        <v>0</v>
      </c>
      <c r="J157" s="108"/>
      <c r="K157" s="108">
        <v>0</v>
      </c>
      <c r="L157" s="108">
        <v>0</v>
      </c>
      <c r="M157" s="130">
        <f t="shared" si="130"/>
        <v>0</v>
      </c>
      <c r="N157" s="130"/>
      <c r="O157" s="130">
        <f t="shared" si="134"/>
        <v>0</v>
      </c>
      <c r="P157" s="130">
        <f t="shared" si="135"/>
        <v>0</v>
      </c>
    </row>
    <row r="158" spans="1:16" s="16" customFormat="1" ht="63.75" x14ac:dyDescent="0.3">
      <c r="A158" s="19" t="s">
        <v>415</v>
      </c>
      <c r="B158" s="19" t="s">
        <v>416</v>
      </c>
      <c r="C158" s="19" t="s">
        <v>58</v>
      </c>
      <c r="D158" s="18" t="s">
        <v>417</v>
      </c>
      <c r="E158" s="108">
        <f t="shared" si="120"/>
        <v>300000</v>
      </c>
      <c r="F158" s="108"/>
      <c r="G158" s="108">
        <v>300000</v>
      </c>
      <c r="H158" s="108">
        <v>300000</v>
      </c>
      <c r="I158" s="108">
        <f t="shared" si="121"/>
        <v>0</v>
      </c>
      <c r="J158" s="108"/>
      <c r="K158" s="108">
        <v>0</v>
      </c>
      <c r="L158" s="108">
        <v>0</v>
      </c>
      <c r="M158" s="130">
        <f t="shared" si="130"/>
        <v>0</v>
      </c>
      <c r="N158" s="130"/>
      <c r="O158" s="130">
        <f t="shared" si="134"/>
        <v>0</v>
      </c>
      <c r="P158" s="130">
        <f t="shared" si="135"/>
        <v>0</v>
      </c>
    </row>
    <row r="159" spans="1:16" s="16" customFormat="1" ht="32.25" x14ac:dyDescent="0.3">
      <c r="A159" s="19" t="s">
        <v>421</v>
      </c>
      <c r="B159" s="19" t="s">
        <v>419</v>
      </c>
      <c r="C159" s="19" t="s">
        <v>58</v>
      </c>
      <c r="D159" s="105" t="s">
        <v>420</v>
      </c>
      <c r="E159" s="108">
        <f t="shared" si="120"/>
        <v>100000</v>
      </c>
      <c r="F159" s="108"/>
      <c r="G159" s="108">
        <v>100000</v>
      </c>
      <c r="H159" s="108">
        <v>100000</v>
      </c>
      <c r="I159" s="108">
        <f t="shared" si="121"/>
        <v>39850</v>
      </c>
      <c r="J159" s="108"/>
      <c r="K159" s="108">
        <f>39850</f>
        <v>39850</v>
      </c>
      <c r="L159" s="108">
        <f>39850</f>
        <v>39850</v>
      </c>
      <c r="M159" s="130">
        <f t="shared" si="130"/>
        <v>0.39850000000000002</v>
      </c>
      <c r="N159" s="130"/>
      <c r="O159" s="130">
        <f t="shared" si="134"/>
        <v>0.39850000000000002</v>
      </c>
      <c r="P159" s="130">
        <f t="shared" si="135"/>
        <v>0.39850000000000002</v>
      </c>
    </row>
    <row r="160" spans="1:16" s="16" customFormat="1" ht="18.75" x14ac:dyDescent="0.3">
      <c r="A160" s="19" t="s">
        <v>437</v>
      </c>
      <c r="B160" s="19" t="s">
        <v>296</v>
      </c>
      <c r="C160" s="19" t="s">
        <v>58</v>
      </c>
      <c r="D160" s="18" t="s">
        <v>298</v>
      </c>
      <c r="E160" s="108">
        <f t="shared" si="120"/>
        <v>5500000</v>
      </c>
      <c r="F160" s="108">
        <v>5000000</v>
      </c>
      <c r="G160" s="108">
        <v>500000</v>
      </c>
      <c r="H160" s="108">
        <v>500000</v>
      </c>
      <c r="I160" s="108">
        <f t="shared" si="121"/>
        <v>1222152.04</v>
      </c>
      <c r="J160" s="108">
        <v>1222152.04</v>
      </c>
      <c r="K160" s="108">
        <v>0</v>
      </c>
      <c r="L160" s="108">
        <v>0</v>
      </c>
      <c r="M160" s="130">
        <f t="shared" si="130"/>
        <v>0.22220946181818182</v>
      </c>
      <c r="N160" s="130">
        <f t="shared" si="130"/>
        <v>0.24443040800000002</v>
      </c>
      <c r="O160" s="130">
        <f t="shared" si="134"/>
        <v>0</v>
      </c>
      <c r="P160" s="130">
        <f t="shared" si="135"/>
        <v>0</v>
      </c>
    </row>
    <row r="161" spans="1:16" s="95" customFormat="1" ht="32.25" x14ac:dyDescent="0.3">
      <c r="A161" s="25" t="s">
        <v>188</v>
      </c>
      <c r="B161" s="25"/>
      <c r="C161" s="25"/>
      <c r="D161" s="26" t="s">
        <v>16</v>
      </c>
      <c r="E161" s="107">
        <f>E162</f>
        <v>65948002</v>
      </c>
      <c r="F161" s="107">
        <f t="shared" ref="F161:L161" si="136">F162</f>
        <v>60134500</v>
      </c>
      <c r="G161" s="107">
        <f t="shared" si="136"/>
        <v>5813502</v>
      </c>
      <c r="H161" s="107">
        <f t="shared" si="136"/>
        <v>5813502</v>
      </c>
      <c r="I161" s="107">
        <f t="shared" si="136"/>
        <v>12953844.6</v>
      </c>
      <c r="J161" s="107">
        <f t="shared" si="136"/>
        <v>12942846.6</v>
      </c>
      <c r="K161" s="107">
        <f t="shared" si="136"/>
        <v>10998</v>
      </c>
      <c r="L161" s="107">
        <f t="shared" si="136"/>
        <v>10998</v>
      </c>
      <c r="M161" s="129">
        <f>I161/E161</f>
        <v>0.19642512596515055</v>
      </c>
      <c r="N161" s="129">
        <f t="shared" si="130"/>
        <v>0.21523163242398291</v>
      </c>
      <c r="O161" s="129">
        <f t="shared" si="134"/>
        <v>1.8918029098467671E-3</v>
      </c>
      <c r="P161" s="129">
        <f t="shared" si="135"/>
        <v>1.8918029098467671E-3</v>
      </c>
    </row>
    <row r="162" spans="1:16" s="122" customFormat="1" ht="32.25" x14ac:dyDescent="0.3">
      <c r="A162" s="25" t="s">
        <v>189</v>
      </c>
      <c r="B162" s="25"/>
      <c r="C162" s="25"/>
      <c r="D162" s="26" t="s">
        <v>16</v>
      </c>
      <c r="E162" s="107">
        <f t="shared" si="120"/>
        <v>65948002</v>
      </c>
      <c r="F162" s="107">
        <f>F163+F164+F165+F166+F167</f>
        <v>60134500</v>
      </c>
      <c r="G162" s="107">
        <f t="shared" ref="G162:J162" si="137">G163+G164+G165+G166+G167</f>
        <v>5813502</v>
      </c>
      <c r="H162" s="107">
        <f t="shared" si="137"/>
        <v>5813502</v>
      </c>
      <c r="I162" s="107">
        <f t="shared" si="121"/>
        <v>12953844.6</v>
      </c>
      <c r="J162" s="107">
        <f t="shared" si="137"/>
        <v>12942846.6</v>
      </c>
      <c r="K162" s="107">
        <f t="shared" ref="K162" si="138">K163+K164+K165+K166+K167</f>
        <v>10998</v>
      </c>
      <c r="L162" s="107">
        <f t="shared" ref="L162" si="139">L163+L164+L165+L166+L167</f>
        <v>10998</v>
      </c>
      <c r="M162" s="129">
        <f>I162/E162</f>
        <v>0.19642512596515055</v>
      </c>
      <c r="N162" s="129">
        <f t="shared" ref="N162:N163" si="140">J162/F162</f>
        <v>0.21523163242398291</v>
      </c>
      <c r="O162" s="129">
        <f t="shared" ref="O162:O163" si="141">K162/G162</f>
        <v>1.8918029098467671E-3</v>
      </c>
      <c r="P162" s="129">
        <f t="shared" ref="P162:P163" si="142">L162/H162</f>
        <v>1.8918029098467671E-3</v>
      </c>
    </row>
    <row r="163" spans="1:16" s="16" customFormat="1" ht="48" x14ac:dyDescent="0.3">
      <c r="A163" s="19" t="s">
        <v>190</v>
      </c>
      <c r="B163" s="19" t="s">
        <v>124</v>
      </c>
      <c r="C163" s="19" t="s">
        <v>32</v>
      </c>
      <c r="D163" s="18" t="s">
        <v>126</v>
      </c>
      <c r="E163" s="108">
        <f t="shared" si="120"/>
        <v>3257000</v>
      </c>
      <c r="F163" s="108">
        <v>3227000</v>
      </c>
      <c r="G163" s="108">
        <v>30000</v>
      </c>
      <c r="H163" s="108">
        <v>30000</v>
      </c>
      <c r="I163" s="108">
        <f t="shared" si="121"/>
        <v>1017444.6</v>
      </c>
      <c r="J163" s="108">
        <v>1006446.6</v>
      </c>
      <c r="K163" s="108">
        <v>10998</v>
      </c>
      <c r="L163" s="108">
        <v>10998</v>
      </c>
      <c r="M163" s="130">
        <f>I163/E163</f>
        <v>0.3123870432913724</v>
      </c>
      <c r="N163" s="130">
        <f t="shared" si="140"/>
        <v>0.31188304927176946</v>
      </c>
      <c r="O163" s="130">
        <f t="shared" si="141"/>
        <v>0.36659999999999998</v>
      </c>
      <c r="P163" s="130">
        <f t="shared" si="142"/>
        <v>0.36659999999999998</v>
      </c>
    </row>
    <row r="164" spans="1:16" s="16" customFormat="1" ht="18.75" x14ac:dyDescent="0.3">
      <c r="A164" s="19" t="s">
        <v>214</v>
      </c>
      <c r="B164" s="19" t="s">
        <v>41</v>
      </c>
      <c r="C164" s="19" t="s">
        <v>37</v>
      </c>
      <c r="D164" s="18" t="s">
        <v>207</v>
      </c>
      <c r="E164" s="108">
        <f t="shared" si="120"/>
        <v>9278202</v>
      </c>
      <c r="F164" s="108">
        <v>4194700</v>
      </c>
      <c r="G164" s="108">
        <f>14155900-9072398</f>
        <v>5083502</v>
      </c>
      <c r="H164" s="108">
        <f>14155900-9072398</f>
        <v>5083502</v>
      </c>
      <c r="I164" s="108">
        <f t="shared" si="121"/>
        <v>8100</v>
      </c>
      <c r="J164" s="108">
        <v>8100</v>
      </c>
      <c r="K164" s="108">
        <v>0</v>
      </c>
      <c r="L164" s="108">
        <v>0</v>
      </c>
      <c r="M164" s="130">
        <f>I164/E164</f>
        <v>8.7301397404367781E-4</v>
      </c>
      <c r="N164" s="130">
        <f t="shared" ref="N164" si="143">J164/F164</f>
        <v>1.9310081769852432E-3</v>
      </c>
      <c r="O164" s="130">
        <f t="shared" ref="O164" si="144">K164/G164</f>
        <v>0</v>
      </c>
      <c r="P164" s="130">
        <f t="shared" ref="P164" si="145">L164/H164</f>
        <v>0</v>
      </c>
    </row>
    <row r="165" spans="1:16" s="16" customFormat="1" ht="18.75" x14ac:dyDescent="0.3">
      <c r="A165" s="19" t="s">
        <v>218</v>
      </c>
      <c r="B165" s="19" t="s">
        <v>217</v>
      </c>
      <c r="C165" s="19" t="s">
        <v>37</v>
      </c>
      <c r="D165" s="18" t="s">
        <v>12</v>
      </c>
      <c r="E165" s="108">
        <f t="shared" si="120"/>
        <v>5000000</v>
      </c>
      <c r="F165" s="108">
        <v>5000000</v>
      </c>
      <c r="G165" s="108"/>
      <c r="H165" s="108"/>
      <c r="I165" s="108">
        <f t="shared" si="121"/>
        <v>0</v>
      </c>
      <c r="J165" s="108">
        <v>0</v>
      </c>
      <c r="K165" s="108"/>
      <c r="L165" s="108"/>
      <c r="M165" s="130">
        <f t="shared" ref="M165:M167" si="146">I165/E165</f>
        <v>0</v>
      </c>
      <c r="N165" s="130">
        <f t="shared" ref="N165:N166" si="147">J165/F165</f>
        <v>0</v>
      </c>
      <c r="O165" s="130"/>
      <c r="P165" s="130"/>
    </row>
    <row r="166" spans="1:16" s="16" customFormat="1" ht="18.75" x14ac:dyDescent="0.3">
      <c r="A166" s="19" t="s">
        <v>216</v>
      </c>
      <c r="B166" s="19" t="s">
        <v>215</v>
      </c>
      <c r="C166" s="19" t="s">
        <v>41</v>
      </c>
      <c r="D166" s="18" t="s">
        <v>13</v>
      </c>
      <c r="E166" s="108">
        <f t="shared" si="120"/>
        <v>47712800</v>
      </c>
      <c r="F166" s="108">
        <v>47712800</v>
      </c>
      <c r="G166" s="108"/>
      <c r="H166" s="108"/>
      <c r="I166" s="108">
        <f t="shared" si="121"/>
        <v>11928300</v>
      </c>
      <c r="J166" s="108">
        <v>11928300</v>
      </c>
      <c r="K166" s="108"/>
      <c r="L166" s="108"/>
      <c r="M166" s="130">
        <f t="shared" si="146"/>
        <v>0.25000209587364397</v>
      </c>
      <c r="N166" s="130">
        <f t="shared" si="147"/>
        <v>0.25000209587364397</v>
      </c>
      <c r="O166" s="130"/>
      <c r="P166" s="130"/>
    </row>
    <row r="167" spans="1:16" s="16" customFormat="1" ht="18.75" x14ac:dyDescent="0.3">
      <c r="A167" s="19" t="s">
        <v>383</v>
      </c>
      <c r="B167" s="19" t="s">
        <v>381</v>
      </c>
      <c r="C167" s="19" t="s">
        <v>41</v>
      </c>
      <c r="D167" s="85" t="s">
        <v>382</v>
      </c>
      <c r="E167" s="108">
        <f t="shared" si="120"/>
        <v>700000</v>
      </c>
      <c r="F167" s="108"/>
      <c r="G167" s="108">
        <v>700000</v>
      </c>
      <c r="H167" s="108">
        <v>700000</v>
      </c>
      <c r="I167" s="108">
        <f t="shared" si="121"/>
        <v>0</v>
      </c>
      <c r="J167" s="108"/>
      <c r="K167" s="108">
        <v>0</v>
      </c>
      <c r="L167" s="108">
        <v>0</v>
      </c>
      <c r="M167" s="130">
        <f t="shared" si="146"/>
        <v>0</v>
      </c>
      <c r="N167" s="130"/>
      <c r="O167" s="130">
        <f t="shared" ref="O167:O168" si="148">K167/G167</f>
        <v>0</v>
      </c>
      <c r="P167" s="130">
        <f t="shared" ref="P167:P168" si="149">L167/H167</f>
        <v>0</v>
      </c>
    </row>
    <row r="168" spans="1:16" s="122" customFormat="1" ht="18.75" x14ac:dyDescent="0.3">
      <c r="A168" s="25"/>
      <c r="B168" s="25"/>
      <c r="C168" s="25"/>
      <c r="D168" s="40" t="s">
        <v>11</v>
      </c>
      <c r="E168" s="107">
        <f t="shared" si="120"/>
        <v>983890797</v>
      </c>
      <c r="F168" s="107">
        <f>F12+F44+F69+F100+F111+F121+F142+F151+F161</f>
        <v>759085196</v>
      </c>
      <c r="G168" s="107">
        <f t="shared" ref="G168:L168" si="150">G12+G44+G69+G100+G111+G121+G142+G151+G161</f>
        <v>224805601</v>
      </c>
      <c r="H168" s="107">
        <f t="shared" si="150"/>
        <v>202260800</v>
      </c>
      <c r="I168" s="107">
        <f t="shared" si="121"/>
        <v>195475167.04999998</v>
      </c>
      <c r="J168" s="107">
        <f t="shared" si="150"/>
        <v>170684891.53999999</v>
      </c>
      <c r="K168" s="107">
        <f t="shared" si="150"/>
        <v>24790275.510000002</v>
      </c>
      <c r="L168" s="107">
        <f t="shared" si="150"/>
        <v>18938005.170000002</v>
      </c>
      <c r="M168" s="129">
        <f>I168/E168</f>
        <v>0.19867567381057635</v>
      </c>
      <c r="N168" s="129">
        <f t="shared" ref="N168" si="151">J168/F168</f>
        <v>0.22485604045425225</v>
      </c>
      <c r="O168" s="129">
        <f t="shared" si="148"/>
        <v>0.11027427875340171</v>
      </c>
      <c r="P168" s="129">
        <f t="shared" si="149"/>
        <v>9.3631614084390066E-2</v>
      </c>
    </row>
    <row r="169" spans="1:16" s="16" customFormat="1" ht="15.75" x14ac:dyDescent="0.25">
      <c r="A169" s="42"/>
      <c r="B169" s="42"/>
      <c r="C169" s="42"/>
      <c r="D169" s="43"/>
      <c r="E169" s="43"/>
      <c r="F169" s="43"/>
      <c r="G169" s="43"/>
      <c r="H169" s="43"/>
      <c r="I169" s="43"/>
      <c r="K169" s="44"/>
      <c r="L169" s="44"/>
      <c r="N169" s="44"/>
      <c r="O169" s="44"/>
      <c r="P169" s="44"/>
    </row>
    <row r="170" spans="1:16" s="29" customFormat="1" ht="15.75" x14ac:dyDescent="0.25">
      <c r="D170" s="29" t="s">
        <v>460</v>
      </c>
      <c r="E170" s="42"/>
      <c r="F170" s="42"/>
      <c r="G170" s="42"/>
      <c r="H170" s="116"/>
      <c r="J170" s="126" t="s">
        <v>461</v>
      </c>
      <c r="K170" s="127"/>
      <c r="L170" s="128"/>
      <c r="M170" s="116"/>
      <c r="N170" s="127"/>
      <c r="O170" s="127"/>
      <c r="P170" s="127"/>
    </row>
    <row r="171" spans="1:16" s="29" customFormat="1" ht="15.75" x14ac:dyDescent="0.25">
      <c r="A171" s="42" t="s">
        <v>453</v>
      </c>
      <c r="B171" s="42"/>
      <c r="C171" s="42"/>
      <c r="E171" s="45"/>
      <c r="F171" s="45"/>
      <c r="J171" s="124"/>
      <c r="K171" s="123"/>
    </row>
    <row r="172" spans="1:16" x14ac:dyDescent="0.25">
      <c r="B172" s="6" t="s">
        <v>454</v>
      </c>
    </row>
  </sheetData>
  <mergeCells count="22">
    <mergeCell ref="M7:M10"/>
    <mergeCell ref="N7:P7"/>
    <mergeCell ref="K8:L8"/>
    <mergeCell ref="N8:N10"/>
    <mergeCell ref="O8:P8"/>
    <mergeCell ref="K9:K10"/>
    <mergeCell ref="N2:P2"/>
    <mergeCell ref="A5:P5"/>
    <mergeCell ref="E7:E10"/>
    <mergeCell ref="F7:H7"/>
    <mergeCell ref="I7:I10"/>
    <mergeCell ref="A6:P6"/>
    <mergeCell ref="G9:G10"/>
    <mergeCell ref="O9:O10"/>
    <mergeCell ref="G8:H8"/>
    <mergeCell ref="J8:J10"/>
    <mergeCell ref="A7:A10"/>
    <mergeCell ref="B7:B10"/>
    <mergeCell ref="C7:C10"/>
    <mergeCell ref="D7:D10"/>
    <mergeCell ref="F8:F10"/>
    <mergeCell ref="J7:L7"/>
  </mergeCells>
  <pageMargins left="0.39370078740157483" right="0.15748031496062992" top="0.15748031496062992" bottom="0.11811023622047245" header="0.15748031496062992" footer="0.11811023622047245"/>
  <pageSetup paperSize="9" scale="50" fitToHeight="15" orientation="landscape" r:id="rId1"/>
  <rowBreaks count="2" manualBreakCount="2">
    <brk id="98" min="10" max="15" man="1"/>
    <brk id="131" min="1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початковий</vt:lpstr>
      <vt:lpstr>зміни лютий</vt:lpstr>
      <vt:lpstr>зі змінами 16.02.18</vt:lpstr>
      <vt:lpstr>2019!</vt:lpstr>
      <vt:lpstr>'2019!'!Заголовки_для_печати</vt:lpstr>
      <vt:lpstr>'зміни лютий'!Заголовки_для_печати</vt:lpstr>
      <vt:lpstr>'2019!'!Область_печати</vt:lpstr>
      <vt:lpstr>'зміни лютий'!Область_печати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Irina</cp:lastModifiedBy>
  <cp:lastPrinted>2019-04-12T12:30:31Z</cp:lastPrinted>
  <dcterms:created xsi:type="dcterms:W3CDTF">2012-12-15T07:44:03Z</dcterms:created>
  <dcterms:modified xsi:type="dcterms:W3CDTF">2019-04-12T13:19:39Z</dcterms:modified>
</cp:coreProperties>
</file>