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570" windowHeight="11580" activeTab="3"/>
  </bookViews>
  <sheets>
    <sheet name="початковий" sheetId="10" r:id="rId1"/>
    <sheet name="зміни квітень" sheetId="12" r:id="rId2"/>
    <sheet name="зі змінами 09.04.19" sheetId="13" r:id="rId3"/>
    <sheet name="зміни червень" sheetId="14" r:id="rId4"/>
  </sheets>
  <externalReferences>
    <externalReference r:id="rId5"/>
  </externalReferences>
  <definedNames>
    <definedName name="_xlnm.Print_Titles" localSheetId="2">'зі змінами 09.04.19'!$10:$14</definedName>
    <definedName name="_xlnm.Print_Titles" localSheetId="1">'зміни квітень'!$8:$12</definedName>
    <definedName name="_xlnm.Print_Titles" localSheetId="3">'зміни червень'!$7:$10</definedName>
    <definedName name="_xlnm.Print_Titles" localSheetId="0">початковий!$8:$12</definedName>
    <definedName name="_xlnm.Print_Area" localSheetId="2">'зі змінами 09.04.19'!$A$1:$Q$190</definedName>
    <definedName name="_xlnm.Print_Area" localSheetId="1">'зміни квітень'!$A$1:$Q$110</definedName>
    <definedName name="_xlnm.Print_Area" localSheetId="3">'зміни червень'!$A$1:$Q$95</definedName>
    <definedName name="_xlnm.Print_Area" localSheetId="0">початковий!$A$1:$Q$170</definedName>
  </definedNames>
  <calcPr calcId="125725"/>
</workbook>
</file>

<file path=xl/calcChain.xml><?xml version="1.0" encoding="utf-8"?>
<calcChain xmlns="http://schemas.openxmlformats.org/spreadsheetml/2006/main">
  <c r="H40" i="14"/>
  <c r="F40"/>
  <c r="E40" s="1"/>
  <c r="Q40" s="1"/>
  <c r="H39"/>
  <c r="F39"/>
  <c r="P70"/>
  <c r="K70"/>
  <c r="F70"/>
  <c r="F34"/>
  <c r="F27" s="1"/>
  <c r="O96"/>
  <c r="N96"/>
  <c r="M96"/>
  <c r="I96"/>
  <c r="I97" s="1"/>
  <c r="H96"/>
  <c r="G96"/>
  <c r="P84"/>
  <c r="K84"/>
  <c r="G27"/>
  <c r="I27"/>
  <c r="J27"/>
  <c r="K27"/>
  <c r="L27"/>
  <c r="M27"/>
  <c r="N27"/>
  <c r="O27"/>
  <c r="P27"/>
  <c r="H42"/>
  <c r="F42"/>
  <c r="J42"/>
  <c r="E42"/>
  <c r="H41"/>
  <c r="F41"/>
  <c r="J41"/>
  <c r="E41"/>
  <c r="J39"/>
  <c r="E39"/>
  <c r="P34"/>
  <c r="L34"/>
  <c r="K34"/>
  <c r="H34"/>
  <c r="H30"/>
  <c r="F30"/>
  <c r="H28"/>
  <c r="F28"/>
  <c r="F74"/>
  <c r="G74"/>
  <c r="H74"/>
  <c r="I74"/>
  <c r="J74"/>
  <c r="K74"/>
  <c r="L74"/>
  <c r="M74"/>
  <c r="N74"/>
  <c r="O74"/>
  <c r="P74"/>
  <c r="E74"/>
  <c r="P76"/>
  <c r="K76"/>
  <c r="J76"/>
  <c r="Q76" s="1"/>
  <c r="E76"/>
  <c r="P72"/>
  <c r="K72"/>
  <c r="P67"/>
  <c r="K67"/>
  <c r="H44"/>
  <c r="I44"/>
  <c r="K44"/>
  <c r="L44"/>
  <c r="M44"/>
  <c r="N44"/>
  <c r="O44"/>
  <c r="P44"/>
  <c r="E53"/>
  <c r="Q53" s="1"/>
  <c r="E50"/>
  <c r="Q50" s="1"/>
  <c r="Q38"/>
  <c r="E37"/>
  <c r="E38"/>
  <c r="Q33"/>
  <c r="E33"/>
  <c r="F45"/>
  <c r="G56"/>
  <c r="H56"/>
  <c r="I56"/>
  <c r="F61"/>
  <c r="F60"/>
  <c r="F59"/>
  <c r="F56" s="1"/>
  <c r="F58"/>
  <c r="E58" s="1"/>
  <c r="J58"/>
  <c r="P63"/>
  <c r="L63"/>
  <c r="K63"/>
  <c r="H27" l="1"/>
  <c r="Q42"/>
  <c r="Q41"/>
  <c r="Q39"/>
  <c r="Q58"/>
  <c r="K65"/>
  <c r="M65"/>
  <c r="N65"/>
  <c r="O65"/>
  <c r="P65"/>
  <c r="E21"/>
  <c r="Q21" s="1"/>
  <c r="E18"/>
  <c r="Q18" s="1"/>
  <c r="F15"/>
  <c r="L67"/>
  <c r="L65" s="1"/>
  <c r="J68"/>
  <c r="Q68" s="1"/>
  <c r="J67"/>
  <c r="J20"/>
  <c r="Q20" s="1"/>
  <c r="K13"/>
  <c r="L13"/>
  <c r="M13"/>
  <c r="J23"/>
  <c r="E23"/>
  <c r="F14"/>
  <c r="F13" s="1"/>
  <c r="G14"/>
  <c r="G13" s="1"/>
  <c r="H14"/>
  <c r="H13" s="1"/>
  <c r="I14"/>
  <c r="I13" s="1"/>
  <c r="K14"/>
  <c r="L14"/>
  <c r="M14"/>
  <c r="N14"/>
  <c r="N13" s="1"/>
  <c r="O14"/>
  <c r="O13" s="1"/>
  <c r="P14"/>
  <c r="P13" s="1"/>
  <c r="F16"/>
  <c r="F47"/>
  <c r="Q48"/>
  <c r="E48"/>
  <c r="F86"/>
  <c r="G86"/>
  <c r="G82" s="1"/>
  <c r="H86"/>
  <c r="H82" s="1"/>
  <c r="I86"/>
  <c r="I82" s="1"/>
  <c r="K86"/>
  <c r="L86"/>
  <c r="M86"/>
  <c r="N86"/>
  <c r="O86"/>
  <c r="O82" s="1"/>
  <c r="P86"/>
  <c r="J90"/>
  <c r="Q90" s="1"/>
  <c r="E90"/>
  <c r="F24"/>
  <c r="G24"/>
  <c r="H24"/>
  <c r="I24"/>
  <c r="J24"/>
  <c r="K24"/>
  <c r="L24"/>
  <c r="M24"/>
  <c r="N24"/>
  <c r="O24"/>
  <c r="P24"/>
  <c r="E24"/>
  <c r="J25"/>
  <c r="E25"/>
  <c r="E67"/>
  <c r="L82"/>
  <c r="M82"/>
  <c r="N82"/>
  <c r="J89"/>
  <c r="E89"/>
  <c r="J85"/>
  <c r="Q85" s="1"/>
  <c r="F83"/>
  <c r="F82" s="1"/>
  <c r="F52"/>
  <c r="G52"/>
  <c r="G44" s="1"/>
  <c r="E22"/>
  <c r="Q22" s="1"/>
  <c r="Q67" l="1"/>
  <c r="Q23"/>
  <c r="Q24"/>
  <c r="Q25"/>
  <c r="Q89"/>
  <c r="P82"/>
  <c r="K82"/>
  <c r="J88"/>
  <c r="J86" s="1"/>
  <c r="E88"/>
  <c r="E86" s="1"/>
  <c r="G78"/>
  <c r="H78"/>
  <c r="I78"/>
  <c r="K78"/>
  <c r="L78"/>
  <c r="M78"/>
  <c r="N78"/>
  <c r="O78"/>
  <c r="P78"/>
  <c r="J80"/>
  <c r="E80"/>
  <c r="Q88" l="1"/>
  <c r="Q80"/>
  <c r="F65"/>
  <c r="G65"/>
  <c r="H65"/>
  <c r="I65"/>
  <c r="K56"/>
  <c r="L56"/>
  <c r="M56"/>
  <c r="N56"/>
  <c r="O56"/>
  <c r="P56"/>
  <c r="F79"/>
  <c r="F78" s="1"/>
  <c r="Q86" l="1"/>
  <c r="F46"/>
  <c r="F44" s="1"/>
  <c r="J29"/>
  <c r="E29"/>
  <c r="Q29" l="1"/>
  <c r="O81" l="1"/>
  <c r="N81"/>
  <c r="M81"/>
  <c r="I81"/>
  <c r="H81"/>
  <c r="G81"/>
  <c r="E84"/>
  <c r="J83"/>
  <c r="L81"/>
  <c r="K81"/>
  <c r="J79"/>
  <c r="J78" s="1"/>
  <c r="G77"/>
  <c r="O77"/>
  <c r="N77"/>
  <c r="L77"/>
  <c r="K77"/>
  <c r="I77"/>
  <c r="H77"/>
  <c r="P77"/>
  <c r="K73"/>
  <c r="J75"/>
  <c r="E75"/>
  <c r="P73"/>
  <c r="O73"/>
  <c r="N73"/>
  <c r="M73"/>
  <c r="L73"/>
  <c r="I73"/>
  <c r="H73"/>
  <c r="G73"/>
  <c r="F73"/>
  <c r="J72"/>
  <c r="E72"/>
  <c r="J71"/>
  <c r="E71"/>
  <c r="J70"/>
  <c r="E70"/>
  <c r="J69"/>
  <c r="E69"/>
  <c r="J66"/>
  <c r="L64"/>
  <c r="E66"/>
  <c r="P64"/>
  <c r="O64"/>
  <c r="N64"/>
  <c r="M64"/>
  <c r="K64"/>
  <c r="I64"/>
  <c r="H64"/>
  <c r="G64"/>
  <c r="F64"/>
  <c r="J63"/>
  <c r="Q63" s="1"/>
  <c r="J62"/>
  <c r="E62"/>
  <c r="J61"/>
  <c r="E61"/>
  <c r="J60"/>
  <c r="E60"/>
  <c r="J59"/>
  <c r="J56" s="1"/>
  <c r="E59"/>
  <c r="G55"/>
  <c r="E57"/>
  <c r="P55"/>
  <c r="O55"/>
  <c r="N55"/>
  <c r="M55"/>
  <c r="L55"/>
  <c r="K55"/>
  <c r="I55"/>
  <c r="H55"/>
  <c r="F55"/>
  <c r="E54"/>
  <c r="Q54" s="1"/>
  <c r="J52"/>
  <c r="E52"/>
  <c r="J51"/>
  <c r="J44" s="1"/>
  <c r="E51"/>
  <c r="E49"/>
  <c r="Q49" s="1"/>
  <c r="E47"/>
  <c r="Q47" s="1"/>
  <c r="E46"/>
  <c r="Q46" s="1"/>
  <c r="E45"/>
  <c r="G43"/>
  <c r="F43"/>
  <c r="P43"/>
  <c r="O43"/>
  <c r="N43"/>
  <c r="M43"/>
  <c r="L43"/>
  <c r="K43"/>
  <c r="I43"/>
  <c r="H43"/>
  <c r="P37"/>
  <c r="J37" s="1"/>
  <c r="Q37" s="1"/>
  <c r="L37"/>
  <c r="L26" s="1"/>
  <c r="K37"/>
  <c r="K26" s="1"/>
  <c r="J36"/>
  <c r="E36"/>
  <c r="J34"/>
  <c r="E34"/>
  <c r="E27" s="1"/>
  <c r="J32"/>
  <c r="E32"/>
  <c r="J30"/>
  <c r="N26"/>
  <c r="E30"/>
  <c r="J28"/>
  <c r="E28"/>
  <c r="G26"/>
  <c r="F26"/>
  <c r="M26"/>
  <c r="H26"/>
  <c r="K12"/>
  <c r="J19"/>
  <c r="E19"/>
  <c r="E17"/>
  <c r="Q17" s="1"/>
  <c r="J16"/>
  <c r="E16"/>
  <c r="J15"/>
  <c r="J14" s="1"/>
  <c r="J13" s="1"/>
  <c r="L12"/>
  <c r="E15"/>
  <c r="H12"/>
  <c r="G12"/>
  <c r="J56" i="13"/>
  <c r="F56"/>
  <c r="E68"/>
  <c r="H148"/>
  <c r="I148"/>
  <c r="P137"/>
  <c r="L137"/>
  <c r="K137"/>
  <c r="F131"/>
  <c r="F128"/>
  <c r="J178"/>
  <c r="J179"/>
  <c r="J180"/>
  <c r="J181"/>
  <c r="J182"/>
  <c r="J183"/>
  <c r="J184"/>
  <c r="J185"/>
  <c r="J186"/>
  <c r="L176"/>
  <c r="M176"/>
  <c r="M170" s="1"/>
  <c r="N176"/>
  <c r="N170" s="1"/>
  <c r="O176"/>
  <c r="O170" s="1"/>
  <c r="P176"/>
  <c r="K176"/>
  <c r="G176"/>
  <c r="H176"/>
  <c r="H170" s="1"/>
  <c r="I176"/>
  <c r="I170" s="1"/>
  <c r="F176"/>
  <c r="E179"/>
  <c r="E180"/>
  <c r="E181"/>
  <c r="E182"/>
  <c r="E183"/>
  <c r="E184"/>
  <c r="E185"/>
  <c r="E186"/>
  <c r="E178"/>
  <c r="E95" i="12"/>
  <c r="P175" i="13"/>
  <c r="L175"/>
  <c r="K175"/>
  <c r="P172"/>
  <c r="P170" s="1"/>
  <c r="K172"/>
  <c r="K170" s="1"/>
  <c r="F172"/>
  <c r="F171"/>
  <c r="M159"/>
  <c r="N159"/>
  <c r="O159"/>
  <c r="H159"/>
  <c r="I159"/>
  <c r="F159"/>
  <c r="J161"/>
  <c r="J162"/>
  <c r="E162"/>
  <c r="F160"/>
  <c r="P157"/>
  <c r="L157"/>
  <c r="K157"/>
  <c r="M148"/>
  <c r="N148"/>
  <c r="O148"/>
  <c r="J156"/>
  <c r="E153"/>
  <c r="E154"/>
  <c r="E156"/>
  <c r="P152"/>
  <c r="L152"/>
  <c r="K152"/>
  <c r="J151"/>
  <c r="E151"/>
  <c r="F149"/>
  <c r="F148" s="1"/>
  <c r="M146"/>
  <c r="M127" s="1"/>
  <c r="P145"/>
  <c r="L145"/>
  <c r="K145"/>
  <c r="H127"/>
  <c r="I127"/>
  <c r="N127"/>
  <c r="O127"/>
  <c r="J144"/>
  <c r="E144"/>
  <c r="P143"/>
  <c r="L143"/>
  <c r="K143"/>
  <c r="P142"/>
  <c r="L142"/>
  <c r="K142"/>
  <c r="F141"/>
  <c r="J140"/>
  <c r="E139"/>
  <c r="E140"/>
  <c r="E14" i="14" l="1"/>
  <c r="E13" s="1"/>
  <c r="E56"/>
  <c r="E44"/>
  <c r="Q44" s="1"/>
  <c r="J65"/>
  <c r="J64" s="1"/>
  <c r="H92"/>
  <c r="E149" i="13"/>
  <c r="O92" i="14"/>
  <c r="I92"/>
  <c r="G92"/>
  <c r="K92"/>
  <c r="N92"/>
  <c r="L92"/>
  <c r="E65"/>
  <c r="J55"/>
  <c r="J12"/>
  <c r="J43"/>
  <c r="Q45"/>
  <c r="J26"/>
  <c r="P26"/>
  <c r="Q60"/>
  <c r="Q36"/>
  <c r="P12"/>
  <c r="F12"/>
  <c r="Q34"/>
  <c r="F81"/>
  <c r="J77"/>
  <c r="M77"/>
  <c r="Q71"/>
  <c r="Q70"/>
  <c r="Q72"/>
  <c r="Q69"/>
  <c r="Q59"/>
  <c r="Q62"/>
  <c r="Q61"/>
  <c r="Q52"/>
  <c r="Q51"/>
  <c r="Q30"/>
  <c r="Q28"/>
  <c r="Q32"/>
  <c r="Q19"/>
  <c r="Q16"/>
  <c r="J73"/>
  <c r="Q57"/>
  <c r="Q15"/>
  <c r="Q66"/>
  <c r="Q75"/>
  <c r="F77"/>
  <c r="E79"/>
  <c r="E78" s="1"/>
  <c r="E83"/>
  <c r="E82" s="1"/>
  <c r="M12"/>
  <c r="J84"/>
  <c r="J82" s="1"/>
  <c r="Q156" i="13"/>
  <c r="Q140"/>
  <c r="P148"/>
  <c r="L148"/>
  <c r="K148"/>
  <c r="Q182"/>
  <c r="Q183"/>
  <c r="Q144"/>
  <c r="Q151"/>
  <c r="Q162"/>
  <c r="Q178"/>
  <c r="J170"/>
  <c r="Q185"/>
  <c r="Q179"/>
  <c r="Q184"/>
  <c r="Q186"/>
  <c r="Q181"/>
  <c r="Q180"/>
  <c r="J176"/>
  <c r="E176"/>
  <c r="E159"/>
  <c r="Q84" i="14" l="1"/>
  <c r="J81"/>
  <c r="J92" s="1"/>
  <c r="M92"/>
  <c r="F92"/>
  <c r="Q83"/>
  <c r="Q79"/>
  <c r="Q78"/>
  <c r="Q77" s="1"/>
  <c r="P81"/>
  <c r="P92" s="1"/>
  <c r="Q14"/>
  <c r="E55"/>
  <c r="Q56"/>
  <c r="Q55" s="1"/>
  <c r="Q13"/>
  <c r="E12"/>
  <c r="E73"/>
  <c r="Q74"/>
  <c r="Q73" s="1"/>
  <c r="E64"/>
  <c r="Q65"/>
  <c r="Q176" i="13"/>
  <c r="Q82" i="14" l="1"/>
  <c r="Q81" s="1"/>
  <c r="Q64"/>
  <c r="E77"/>
  <c r="E81"/>
  <c r="E43"/>
  <c r="Q43" s="1"/>
  <c r="Q12"/>
  <c r="E26"/>
  <c r="Q26" s="1"/>
  <c r="Q27"/>
  <c r="P138" i="13"/>
  <c r="L138"/>
  <c r="K138"/>
  <c r="F138"/>
  <c r="P135"/>
  <c r="L135"/>
  <c r="K135"/>
  <c r="P133"/>
  <c r="J133" s="1"/>
  <c r="K133"/>
  <c r="F133"/>
  <c r="P132"/>
  <c r="L132"/>
  <c r="K132"/>
  <c r="F132"/>
  <c r="P131"/>
  <c r="L131"/>
  <c r="K131"/>
  <c r="F125"/>
  <c r="F118"/>
  <c r="P114"/>
  <c r="L114"/>
  <c r="K114"/>
  <c r="F111"/>
  <c r="F110"/>
  <c r="F109"/>
  <c r="F108"/>
  <c r="F104"/>
  <c r="E104" s="1"/>
  <c r="H74"/>
  <c r="I74"/>
  <c r="K74"/>
  <c r="L74"/>
  <c r="M74"/>
  <c r="N74"/>
  <c r="O74"/>
  <c r="P74"/>
  <c r="E96"/>
  <c r="Q96" s="1"/>
  <c r="F95"/>
  <c r="E95" s="1"/>
  <c r="F88"/>
  <c r="F87"/>
  <c r="E87" s="1"/>
  <c r="F85"/>
  <c r="E85" s="1"/>
  <c r="F83"/>
  <c r="E83" s="1"/>
  <c r="E101"/>
  <c r="E102"/>
  <c r="E97"/>
  <c r="E99"/>
  <c r="E100"/>
  <c r="E89"/>
  <c r="E91"/>
  <c r="E92"/>
  <c r="E93"/>
  <c r="E94"/>
  <c r="E78"/>
  <c r="E79"/>
  <c r="E80"/>
  <c r="E81"/>
  <c r="E82"/>
  <c r="E84"/>
  <c r="E86"/>
  <c r="E88"/>
  <c r="E77"/>
  <c r="F75"/>
  <c r="F71"/>
  <c r="M50"/>
  <c r="J66"/>
  <c r="J67"/>
  <c r="E67"/>
  <c r="G65"/>
  <c r="F65"/>
  <c r="P62"/>
  <c r="L62"/>
  <c r="K62"/>
  <c r="F62"/>
  <c r="P59"/>
  <c r="L59"/>
  <c r="K59"/>
  <c r="P53"/>
  <c r="L53"/>
  <c r="K53"/>
  <c r="F53"/>
  <c r="P52"/>
  <c r="K52"/>
  <c r="H52"/>
  <c r="H50" s="1"/>
  <c r="F52"/>
  <c r="M48"/>
  <c r="E46"/>
  <c r="Q46" s="1"/>
  <c r="P38"/>
  <c r="L38"/>
  <c r="K38"/>
  <c r="E34"/>
  <c r="Q34" s="1"/>
  <c r="P29"/>
  <c r="L29"/>
  <c r="K29"/>
  <c r="F29"/>
  <c r="E28"/>
  <c r="Q28" s="1"/>
  <c r="E92" i="14" l="1"/>
  <c r="Q67" i="13"/>
  <c r="P24"/>
  <c r="L24"/>
  <c r="K24"/>
  <c r="F24"/>
  <c r="F23"/>
  <c r="F21"/>
  <c r="E21" s="1"/>
  <c r="Q21" s="1"/>
  <c r="F20"/>
  <c r="F17" s="1"/>
  <c r="F19"/>
  <c r="F18"/>
  <c r="F193"/>
  <c r="G193"/>
  <c r="H193"/>
  <c r="I193"/>
  <c r="J193"/>
  <c r="K193"/>
  <c r="L193"/>
  <c r="M193"/>
  <c r="N193"/>
  <c r="O193"/>
  <c r="P193"/>
  <c r="Q193"/>
  <c r="E193"/>
  <c r="J175"/>
  <c r="Q175" s="1"/>
  <c r="F174"/>
  <c r="Q173"/>
  <c r="P169"/>
  <c r="L172"/>
  <c r="K169"/>
  <c r="J172"/>
  <c r="E172"/>
  <c r="J171"/>
  <c r="G171"/>
  <c r="E171"/>
  <c r="N169"/>
  <c r="I169"/>
  <c r="O169"/>
  <c r="M169"/>
  <c r="H169"/>
  <c r="J168"/>
  <c r="E168"/>
  <c r="J167"/>
  <c r="Q167" s="1"/>
  <c r="J166"/>
  <c r="Q166" s="1"/>
  <c r="J165"/>
  <c r="E165"/>
  <c r="J164"/>
  <c r="E164"/>
  <c r="J163"/>
  <c r="E163"/>
  <c r="E161"/>
  <c r="Q161" s="1"/>
  <c r="P160"/>
  <c r="P159" s="1"/>
  <c r="J159" s="1"/>
  <c r="J158" s="1"/>
  <c r="L160"/>
  <c r="K160"/>
  <c r="G160"/>
  <c r="G159" s="1"/>
  <c r="G158" s="1"/>
  <c r="E160"/>
  <c r="N158"/>
  <c r="M158"/>
  <c r="I158"/>
  <c r="H158"/>
  <c r="O158"/>
  <c r="J157"/>
  <c r="E157"/>
  <c r="J155"/>
  <c r="Q155" s="1"/>
  <c r="J154"/>
  <c r="Q154" s="1"/>
  <c r="J153"/>
  <c r="Q153" s="1"/>
  <c r="L147"/>
  <c r="J152"/>
  <c r="E152"/>
  <c r="J150"/>
  <c r="E150"/>
  <c r="J149"/>
  <c r="G149"/>
  <c r="G148" s="1"/>
  <c r="G147" s="1"/>
  <c r="F147"/>
  <c r="P147"/>
  <c r="M147"/>
  <c r="K147"/>
  <c r="I147"/>
  <c r="H147"/>
  <c r="O147"/>
  <c r="N147"/>
  <c r="J146"/>
  <c r="E146"/>
  <c r="J145"/>
  <c r="E145"/>
  <c r="J143"/>
  <c r="E143"/>
  <c r="J142"/>
  <c r="E142"/>
  <c r="J141"/>
  <c r="E141"/>
  <c r="J139"/>
  <c r="Q139" s="1"/>
  <c r="J138"/>
  <c r="E138"/>
  <c r="J137"/>
  <c r="E137"/>
  <c r="J136"/>
  <c r="E136"/>
  <c r="J135"/>
  <c r="F135"/>
  <c r="E135" s="1"/>
  <c r="J134"/>
  <c r="E134"/>
  <c r="E133"/>
  <c r="J132"/>
  <c r="E132"/>
  <c r="J131"/>
  <c r="E131"/>
  <c r="E130"/>
  <c r="J129"/>
  <c r="E129"/>
  <c r="P128"/>
  <c r="P127" s="1"/>
  <c r="P126" s="1"/>
  <c r="L128"/>
  <c r="L127" s="1"/>
  <c r="L126" s="1"/>
  <c r="K128"/>
  <c r="K127" s="1"/>
  <c r="K126" s="1"/>
  <c r="G128"/>
  <c r="G127" s="1"/>
  <c r="G126" s="1"/>
  <c r="E128"/>
  <c r="M126"/>
  <c r="I126"/>
  <c r="H126"/>
  <c r="O126"/>
  <c r="N126"/>
  <c r="E125"/>
  <c r="Q125" s="1"/>
  <c r="F124"/>
  <c r="E124" s="1"/>
  <c r="Q124" s="1"/>
  <c r="F123"/>
  <c r="E123" s="1"/>
  <c r="Q123" s="1"/>
  <c r="E122"/>
  <c r="Q122" s="1"/>
  <c r="F121"/>
  <c r="E121" s="1"/>
  <c r="Q121" s="1"/>
  <c r="E120"/>
  <c r="Q120" s="1"/>
  <c r="E119"/>
  <c r="Q119" s="1"/>
  <c r="J118"/>
  <c r="G118"/>
  <c r="G117" s="1"/>
  <c r="G116" s="1"/>
  <c r="E118"/>
  <c r="P117"/>
  <c r="P116" s="1"/>
  <c r="O117"/>
  <c r="N117"/>
  <c r="N116" s="1"/>
  <c r="M117"/>
  <c r="L117"/>
  <c r="L116" s="1"/>
  <c r="K117"/>
  <c r="K116" s="1"/>
  <c r="J117"/>
  <c r="J116" s="1"/>
  <c r="I117"/>
  <c r="I116" s="1"/>
  <c r="H117"/>
  <c r="H116" s="1"/>
  <c r="O116"/>
  <c r="M116"/>
  <c r="J115"/>
  <c r="Q115" s="1"/>
  <c r="P106"/>
  <c r="J114"/>
  <c r="Q114" s="1"/>
  <c r="J113"/>
  <c r="E113"/>
  <c r="J112"/>
  <c r="E112"/>
  <c r="N111"/>
  <c r="J111"/>
  <c r="E111"/>
  <c r="J110"/>
  <c r="E110"/>
  <c r="J109"/>
  <c r="E109"/>
  <c r="N108"/>
  <c r="J108"/>
  <c r="E108"/>
  <c r="Q108" s="1"/>
  <c r="G107"/>
  <c r="G106" s="1"/>
  <c r="G105" s="1"/>
  <c r="F107"/>
  <c r="E107" s="1"/>
  <c r="Q107" s="1"/>
  <c r="O106"/>
  <c r="O105" s="1"/>
  <c r="M106"/>
  <c r="M105" s="1"/>
  <c r="L106"/>
  <c r="L105" s="1"/>
  <c r="K106"/>
  <c r="K105" s="1"/>
  <c r="I106"/>
  <c r="I105" s="1"/>
  <c r="H106"/>
  <c r="H105" s="1"/>
  <c r="F106"/>
  <c r="F105" s="1"/>
  <c r="Q104"/>
  <c r="F103"/>
  <c r="E103" s="1"/>
  <c r="Q103" s="1"/>
  <c r="Q102"/>
  <c r="Q101"/>
  <c r="Q100"/>
  <c r="J99"/>
  <c r="Q99" s="1"/>
  <c r="G99"/>
  <c r="J98"/>
  <c r="G98"/>
  <c r="F98"/>
  <c r="E98" s="1"/>
  <c r="Q97"/>
  <c r="Q95"/>
  <c r="Q94"/>
  <c r="Q93"/>
  <c r="Q92"/>
  <c r="Q91"/>
  <c r="F90"/>
  <c r="E90" s="1"/>
  <c r="Q90" s="1"/>
  <c r="Q89"/>
  <c r="Q88"/>
  <c r="Q87"/>
  <c r="Q86"/>
  <c r="Q85"/>
  <c r="Q84"/>
  <c r="Q83"/>
  <c r="Q82"/>
  <c r="Q81"/>
  <c r="Q80"/>
  <c r="Q79"/>
  <c r="Q78"/>
  <c r="Q77"/>
  <c r="E76"/>
  <c r="Q76" s="1"/>
  <c r="J75"/>
  <c r="G75"/>
  <c r="E75"/>
  <c r="O73"/>
  <c r="N73"/>
  <c r="M73"/>
  <c r="K73"/>
  <c r="P73"/>
  <c r="L73"/>
  <c r="I73"/>
  <c r="I187" s="1"/>
  <c r="I195" s="1"/>
  <c r="H73"/>
  <c r="P72"/>
  <c r="P50" s="1"/>
  <c r="P49" s="1"/>
  <c r="L72"/>
  <c r="K72"/>
  <c r="K50" s="1"/>
  <c r="K49" s="1"/>
  <c r="J71"/>
  <c r="E71"/>
  <c r="J70"/>
  <c r="E70"/>
  <c r="J69"/>
  <c r="E69"/>
  <c r="E66"/>
  <c r="Q66" s="1"/>
  <c r="J65"/>
  <c r="E65"/>
  <c r="J64"/>
  <c r="E64"/>
  <c r="J63"/>
  <c r="E63"/>
  <c r="J62"/>
  <c r="E62"/>
  <c r="J61"/>
  <c r="F61"/>
  <c r="E61" s="1"/>
  <c r="J59"/>
  <c r="E59"/>
  <c r="J58"/>
  <c r="F58"/>
  <c r="E58" s="1"/>
  <c r="J57"/>
  <c r="E57"/>
  <c r="E56"/>
  <c r="Q56" s="1"/>
  <c r="J55"/>
  <c r="F55"/>
  <c r="E55" s="1"/>
  <c r="J53"/>
  <c r="N53"/>
  <c r="E53"/>
  <c r="J52"/>
  <c r="L52"/>
  <c r="G52"/>
  <c r="E52"/>
  <c r="J51"/>
  <c r="G51"/>
  <c r="F51"/>
  <c r="H49"/>
  <c r="M49"/>
  <c r="J48"/>
  <c r="E47"/>
  <c r="Q47" s="1"/>
  <c r="E45"/>
  <c r="Q45" s="1"/>
  <c r="J44"/>
  <c r="F44"/>
  <c r="E44" s="1"/>
  <c r="E43"/>
  <c r="Q43" s="1"/>
  <c r="F42"/>
  <c r="E42" s="1"/>
  <c r="Q42" s="1"/>
  <c r="F41"/>
  <c r="E41" s="1"/>
  <c r="Q41" s="1"/>
  <c r="E40"/>
  <c r="Q40" s="1"/>
  <c r="E39"/>
  <c r="Q39" s="1"/>
  <c r="J38"/>
  <c r="E38"/>
  <c r="P37"/>
  <c r="L37"/>
  <c r="K37"/>
  <c r="F37"/>
  <c r="E37" s="1"/>
  <c r="J36"/>
  <c r="Q36" s="1"/>
  <c r="E35"/>
  <c r="Q35" s="1"/>
  <c r="E33"/>
  <c r="Q33" s="1"/>
  <c r="E32"/>
  <c r="Q32" s="1"/>
  <c r="E31"/>
  <c r="Q31" s="1"/>
  <c r="E30"/>
  <c r="Q30" s="1"/>
  <c r="J29"/>
  <c r="E29"/>
  <c r="E27"/>
  <c r="Q27" s="1"/>
  <c r="E26"/>
  <c r="Q26" s="1"/>
  <c r="E25"/>
  <c r="Q25" s="1"/>
  <c r="J24"/>
  <c r="E24"/>
  <c r="E23"/>
  <c r="Q23" s="1"/>
  <c r="E22"/>
  <c r="Q22" s="1"/>
  <c r="G21"/>
  <c r="G20"/>
  <c r="E20"/>
  <c r="Q20" s="1"/>
  <c r="J19"/>
  <c r="G19"/>
  <c r="P18"/>
  <c r="P17" s="1"/>
  <c r="P16" s="1"/>
  <c r="M18"/>
  <c r="L18"/>
  <c r="L17" s="1"/>
  <c r="K18"/>
  <c r="K17" s="1"/>
  <c r="G18"/>
  <c r="E18"/>
  <c r="H17"/>
  <c r="H16" s="1"/>
  <c r="H15" s="1"/>
  <c r="K29" i="12"/>
  <c r="J35"/>
  <c r="G37"/>
  <c r="F37"/>
  <c r="P33"/>
  <c r="L33"/>
  <c r="K33"/>
  <c r="P78"/>
  <c r="P77"/>
  <c r="L77"/>
  <c r="K77"/>
  <c r="P71"/>
  <c r="L71"/>
  <c r="K71"/>
  <c r="P66"/>
  <c r="L66"/>
  <c r="K66"/>
  <c r="L57"/>
  <c r="K57"/>
  <c r="P37"/>
  <c r="L37"/>
  <c r="K37"/>
  <c r="G17" i="13" l="1"/>
  <c r="G16" s="1"/>
  <c r="G15" s="1"/>
  <c r="Q63"/>
  <c r="Q112"/>
  <c r="N106"/>
  <c r="N105" s="1"/>
  <c r="Q137"/>
  <c r="Q92" i="14"/>
  <c r="Q70" i="13"/>
  <c r="P158"/>
  <c r="Q58"/>
  <c r="Q69"/>
  <c r="Q98"/>
  <c r="Q168"/>
  <c r="O187"/>
  <c r="O195" s="1"/>
  <c r="Q171"/>
  <c r="L16"/>
  <c r="Q61"/>
  <c r="Q65"/>
  <c r="Q165"/>
  <c r="J18"/>
  <c r="Q18" s="1"/>
  <c r="K16"/>
  <c r="K15" s="1"/>
  <c r="K187" s="1"/>
  <c r="Q55"/>
  <c r="K159"/>
  <c r="K158" s="1"/>
  <c r="Q44"/>
  <c r="G74"/>
  <c r="G73" s="1"/>
  <c r="Q110"/>
  <c r="L50"/>
  <c r="L49" s="1"/>
  <c r="Q57"/>
  <c r="J72"/>
  <c r="Q72" s="1"/>
  <c r="Q113"/>
  <c r="J160"/>
  <c r="Q160" s="1"/>
  <c r="E74"/>
  <c r="Q109"/>
  <c r="Q164"/>
  <c r="F74"/>
  <c r="F73" s="1"/>
  <c r="G170"/>
  <c r="G169" s="1"/>
  <c r="E174"/>
  <c r="Q174" s="1"/>
  <c r="F170"/>
  <c r="Q64"/>
  <c r="Q129"/>
  <c r="Q134"/>
  <c r="F127"/>
  <c r="F126" s="1"/>
  <c r="J50"/>
  <c r="J49" s="1"/>
  <c r="J148"/>
  <c r="J147" s="1"/>
  <c r="G50"/>
  <c r="G49" s="1"/>
  <c r="E51"/>
  <c r="Q51" s="1"/>
  <c r="F50"/>
  <c r="F49" s="1"/>
  <c r="N50"/>
  <c r="N49" s="1"/>
  <c r="N187" s="1"/>
  <c r="L170"/>
  <c r="L169" s="1"/>
  <c r="Q111"/>
  <c r="Q132"/>
  <c r="Q150"/>
  <c r="E148"/>
  <c r="E147" s="1"/>
  <c r="L159"/>
  <c r="L158" s="1"/>
  <c r="F16"/>
  <c r="F15" s="1"/>
  <c r="J74"/>
  <c r="J73" s="1"/>
  <c r="F117"/>
  <c r="F116" s="1"/>
  <c r="J128"/>
  <c r="Q128" s="1"/>
  <c r="Q136"/>
  <c r="E127"/>
  <c r="Q163"/>
  <c r="J169"/>
  <c r="Q172"/>
  <c r="Q149"/>
  <c r="Q157"/>
  <c r="Q152"/>
  <c r="J127"/>
  <c r="J126" s="1"/>
  <c r="Q146"/>
  <c r="Q145"/>
  <c r="Q143"/>
  <c r="Q142"/>
  <c r="Q141"/>
  <c r="Q138"/>
  <c r="Q135"/>
  <c r="Q133"/>
  <c r="Q131"/>
  <c r="E117"/>
  <c r="E116" s="1"/>
  <c r="Q116" s="1"/>
  <c r="Q118"/>
  <c r="O192"/>
  <c r="I192"/>
  <c r="Q71"/>
  <c r="Q62"/>
  <c r="Q59"/>
  <c r="Q53"/>
  <c r="Q48"/>
  <c r="J37"/>
  <c r="P15"/>
  <c r="Q38"/>
  <c r="L15"/>
  <c r="Q29"/>
  <c r="H187"/>
  <c r="Q52"/>
  <c r="E158"/>
  <c r="Q159"/>
  <c r="Q158" s="1"/>
  <c r="Q24"/>
  <c r="J106"/>
  <c r="J105" s="1"/>
  <c r="P105"/>
  <c r="E17"/>
  <c r="E16" s="1"/>
  <c r="M17"/>
  <c r="M16" s="1"/>
  <c r="Q130"/>
  <c r="E19"/>
  <c r="Q19" s="1"/>
  <c r="Q75"/>
  <c r="E106"/>
  <c r="F158"/>
  <c r="J34" i="12"/>
  <c r="F33"/>
  <c r="E50" i="13" l="1"/>
  <c r="Q50" s="1"/>
  <c r="Q74"/>
  <c r="G187"/>
  <c r="G195" s="1"/>
  <c r="K192"/>
  <c r="K195"/>
  <c r="N192"/>
  <c r="N195"/>
  <c r="E73"/>
  <c r="Q73" s="1"/>
  <c r="E170"/>
  <c r="E169" s="1"/>
  <c r="F169"/>
  <c r="F187" s="1"/>
  <c r="L187"/>
  <c r="H192"/>
  <c r="H195"/>
  <c r="Q148"/>
  <c r="Q147" s="1"/>
  <c r="Q117"/>
  <c r="P187"/>
  <c r="Q37"/>
  <c r="Q106"/>
  <c r="Q105" s="1"/>
  <c r="E105"/>
  <c r="E126"/>
  <c r="Q127"/>
  <c r="J17"/>
  <c r="Q23" i="12"/>
  <c r="E23"/>
  <c r="M64"/>
  <c r="N64"/>
  <c r="O64"/>
  <c r="J69"/>
  <c r="Q69" s="1"/>
  <c r="K80"/>
  <c r="M80"/>
  <c r="N80"/>
  <c r="O80"/>
  <c r="J85"/>
  <c r="E85"/>
  <c r="M51"/>
  <c r="K52"/>
  <c r="K51" s="1"/>
  <c r="L52"/>
  <c r="L51" s="1"/>
  <c r="M52"/>
  <c r="N52"/>
  <c r="N51" s="1"/>
  <c r="O52"/>
  <c r="O51" s="1"/>
  <c r="P52"/>
  <c r="P51" s="1"/>
  <c r="J58"/>
  <c r="Q58" s="1"/>
  <c r="J57"/>
  <c r="Q57" s="1"/>
  <c r="P83"/>
  <c r="L83"/>
  <c r="L80" s="1"/>
  <c r="K83"/>
  <c r="P67"/>
  <c r="L67"/>
  <c r="K67"/>
  <c r="J68"/>
  <c r="E68"/>
  <c r="G80"/>
  <c r="H80"/>
  <c r="I80"/>
  <c r="J82"/>
  <c r="E82"/>
  <c r="P74"/>
  <c r="L74"/>
  <c r="K74"/>
  <c r="G36"/>
  <c r="F36"/>
  <c r="E49" i="13" l="1"/>
  <c r="Q49" s="1"/>
  <c r="Q170"/>
  <c r="Q169" s="1"/>
  <c r="G192"/>
  <c r="F192"/>
  <c r="F195"/>
  <c r="L192"/>
  <c r="L195"/>
  <c r="Q17"/>
  <c r="J16"/>
  <c r="J15" s="1"/>
  <c r="P192"/>
  <c r="P195"/>
  <c r="Q126"/>
  <c r="M15"/>
  <c r="M187" s="1"/>
  <c r="M195" s="1"/>
  <c r="E15"/>
  <c r="J52" i="12"/>
  <c r="J51" s="1"/>
  <c r="Q82"/>
  <c r="Q85"/>
  <c r="Q68"/>
  <c r="Q62"/>
  <c r="E62"/>
  <c r="F40"/>
  <c r="Q31"/>
  <c r="Q32"/>
  <c r="F30"/>
  <c r="J187" i="13" l="1"/>
  <c r="M192"/>
  <c r="E187"/>
  <c r="E195" s="1"/>
  <c r="Q15"/>
  <c r="Q16"/>
  <c r="F71" i="12"/>
  <c r="J192" i="13" l="1"/>
  <c r="J195"/>
  <c r="Q187"/>
  <c r="E192"/>
  <c r="P21" i="12"/>
  <c r="L21"/>
  <c r="K21"/>
  <c r="Q192" i="13" l="1"/>
  <c r="Q195"/>
  <c r="E49" i="12"/>
  <c r="Q49" s="1"/>
  <c r="F45"/>
  <c r="J26"/>
  <c r="E26"/>
  <c r="F93"/>
  <c r="Q26" l="1"/>
  <c r="Q39"/>
  <c r="E39"/>
  <c r="E38" l="1"/>
  <c r="Q38" s="1"/>
  <c r="F34"/>
  <c r="L29"/>
  <c r="M29"/>
  <c r="N29"/>
  <c r="O29"/>
  <c r="P29"/>
  <c r="G29"/>
  <c r="H29"/>
  <c r="I29"/>
  <c r="J37"/>
  <c r="E37"/>
  <c r="Q37" l="1"/>
  <c r="F65"/>
  <c r="F61"/>
  <c r="F60" s="1"/>
  <c r="F66"/>
  <c r="E89"/>
  <c r="Q89" s="1"/>
  <c r="P75" l="1"/>
  <c r="L75"/>
  <c r="L64" s="1"/>
  <c r="K75"/>
  <c r="K64" s="1"/>
  <c r="J94"/>
  <c r="Q94" s="1"/>
  <c r="E34" l="1"/>
  <c r="J36"/>
  <c r="Q34" l="1"/>
  <c r="L99"/>
  <c r="P64"/>
  <c r="F55" l="1"/>
  <c r="F54"/>
  <c r="E36" l="1"/>
  <c r="Q36" s="1"/>
  <c r="F21"/>
  <c r="Q48"/>
  <c r="E45"/>
  <c r="Q45" s="1"/>
  <c r="E46"/>
  <c r="Q46" s="1"/>
  <c r="E47"/>
  <c r="Q47" s="1"/>
  <c r="E48"/>
  <c r="E44"/>
  <c r="Q44" s="1"/>
  <c r="P93"/>
  <c r="J93" s="1"/>
  <c r="K93"/>
  <c r="G15"/>
  <c r="G14" s="1"/>
  <c r="H15"/>
  <c r="H14" s="1"/>
  <c r="I15"/>
  <c r="I14" s="1"/>
  <c r="J15"/>
  <c r="K15"/>
  <c r="L15"/>
  <c r="M15"/>
  <c r="M14" s="1"/>
  <c r="N15"/>
  <c r="N14" s="1"/>
  <c r="O15"/>
  <c r="O14" s="1"/>
  <c r="P15"/>
  <c r="F16"/>
  <c r="E16" s="1"/>
  <c r="E81"/>
  <c r="F81"/>
  <c r="F80" s="1"/>
  <c r="F18"/>
  <c r="E18" s="1"/>
  <c r="Q18" s="1"/>
  <c r="F19"/>
  <c r="E19" s="1"/>
  <c r="Q19" s="1"/>
  <c r="F17"/>
  <c r="E17" s="1"/>
  <c r="Q17" s="1"/>
  <c r="E93"/>
  <c r="F92"/>
  <c r="E92" s="1"/>
  <c r="G87"/>
  <c r="G86" s="1"/>
  <c r="H87"/>
  <c r="H86" s="1"/>
  <c r="I87"/>
  <c r="I86" s="1"/>
  <c r="J87"/>
  <c r="J86" s="1"/>
  <c r="K87"/>
  <c r="K86" s="1"/>
  <c r="L87"/>
  <c r="L86" s="1"/>
  <c r="M87"/>
  <c r="M86" s="1"/>
  <c r="N87"/>
  <c r="N86" s="1"/>
  <c r="O87"/>
  <c r="O86" s="1"/>
  <c r="P87"/>
  <c r="P86" s="1"/>
  <c r="F88"/>
  <c r="E88" s="1"/>
  <c r="E65"/>
  <c r="Q65" s="1"/>
  <c r="F43"/>
  <c r="F42" s="1"/>
  <c r="F59"/>
  <c r="E61"/>
  <c r="E60" s="1"/>
  <c r="E40"/>
  <c r="Q40" s="1"/>
  <c r="F35"/>
  <c r="F56"/>
  <c r="E56" s="1"/>
  <c r="Q56" s="1"/>
  <c r="F53"/>
  <c r="E53" s="1"/>
  <c r="Q53" s="1"/>
  <c r="E55"/>
  <c r="Q55" s="1"/>
  <c r="J164" i="10"/>
  <c r="Q164" s="1"/>
  <c r="F163"/>
  <c r="E163" s="1"/>
  <c r="Q163" s="1"/>
  <c r="Q162"/>
  <c r="P161"/>
  <c r="J161" s="1"/>
  <c r="J159" s="1"/>
  <c r="J158" s="1"/>
  <c r="L161"/>
  <c r="L159" s="1"/>
  <c r="L158" s="1"/>
  <c r="K161"/>
  <c r="K159" s="1"/>
  <c r="K158" s="1"/>
  <c r="F161"/>
  <c r="E161" s="1"/>
  <c r="J160"/>
  <c r="G160"/>
  <c r="G159" s="1"/>
  <c r="G158" s="1"/>
  <c r="F160"/>
  <c r="E160" s="1"/>
  <c r="O159"/>
  <c r="O158" s="1"/>
  <c r="N159"/>
  <c r="N158" s="1"/>
  <c r="M159"/>
  <c r="M158" s="1"/>
  <c r="I159"/>
  <c r="H159"/>
  <c r="I158"/>
  <c r="H158"/>
  <c r="J157"/>
  <c r="E157"/>
  <c r="J156"/>
  <c r="Q156" s="1"/>
  <c r="Q155"/>
  <c r="J155"/>
  <c r="J154"/>
  <c r="E154"/>
  <c r="J153"/>
  <c r="E153"/>
  <c r="J152"/>
  <c r="E152"/>
  <c r="Q152" s="1"/>
  <c r="E151"/>
  <c r="Q151" s="1"/>
  <c r="P150"/>
  <c r="J150" s="1"/>
  <c r="L150"/>
  <c r="L149" s="1"/>
  <c r="L148" s="1"/>
  <c r="K150"/>
  <c r="G150"/>
  <c r="F150"/>
  <c r="E150"/>
  <c r="Q150" s="1"/>
  <c r="P149"/>
  <c r="P148" s="1"/>
  <c r="O149"/>
  <c r="N149"/>
  <c r="N148" s="1"/>
  <c r="M149"/>
  <c r="K149"/>
  <c r="K148" s="1"/>
  <c r="I149"/>
  <c r="I148" s="1"/>
  <c r="H149"/>
  <c r="H148" s="1"/>
  <c r="G149"/>
  <c r="G148" s="1"/>
  <c r="F149"/>
  <c r="E149" s="1"/>
  <c r="O148"/>
  <c r="J147"/>
  <c r="E147"/>
  <c r="Q147" s="1"/>
  <c r="J146"/>
  <c r="Q146" s="1"/>
  <c r="J145"/>
  <c r="E145"/>
  <c r="J144"/>
  <c r="E144"/>
  <c r="P143"/>
  <c r="P140" s="1"/>
  <c r="P139" s="1"/>
  <c r="L143"/>
  <c r="L140" s="1"/>
  <c r="L139" s="1"/>
  <c r="K143"/>
  <c r="K140" s="1"/>
  <c r="K139" s="1"/>
  <c r="E143"/>
  <c r="J142"/>
  <c r="E142"/>
  <c r="Q142" s="1"/>
  <c r="J141"/>
  <c r="G141"/>
  <c r="G140" s="1"/>
  <c r="G139" s="1"/>
  <c r="F141"/>
  <c r="E141" s="1"/>
  <c r="O140"/>
  <c r="O139" s="1"/>
  <c r="N140"/>
  <c r="N139" s="1"/>
  <c r="M140"/>
  <c r="M139" s="1"/>
  <c r="I140"/>
  <c r="I139" s="1"/>
  <c r="H140"/>
  <c r="H139" s="1"/>
  <c r="F140"/>
  <c r="F139"/>
  <c r="J138"/>
  <c r="E138"/>
  <c r="J137"/>
  <c r="E137"/>
  <c r="J136"/>
  <c r="Q136" s="1"/>
  <c r="P135"/>
  <c r="J135" s="1"/>
  <c r="L135"/>
  <c r="K135"/>
  <c r="E135"/>
  <c r="P134"/>
  <c r="K134"/>
  <c r="J134"/>
  <c r="E134"/>
  <c r="J133"/>
  <c r="E133"/>
  <c r="Q133" s="1"/>
  <c r="Q132"/>
  <c r="J132"/>
  <c r="J131"/>
  <c r="E131"/>
  <c r="Q131" s="1"/>
  <c r="P130"/>
  <c r="J130" s="1"/>
  <c r="L130"/>
  <c r="K130"/>
  <c r="F130"/>
  <c r="E130" s="1"/>
  <c r="J129"/>
  <c r="E129"/>
  <c r="J128"/>
  <c r="E128"/>
  <c r="Q128" s="1"/>
  <c r="J127"/>
  <c r="F127"/>
  <c r="E127" s="1"/>
  <c r="J126"/>
  <c r="E126"/>
  <c r="J125"/>
  <c r="E125"/>
  <c r="J124"/>
  <c r="E124"/>
  <c r="Q124" s="1"/>
  <c r="J123"/>
  <c r="F123"/>
  <c r="E123" s="1"/>
  <c r="E122"/>
  <c r="Q122" s="1"/>
  <c r="J121"/>
  <c r="E121"/>
  <c r="Q121" s="1"/>
  <c r="P120"/>
  <c r="J120" s="1"/>
  <c r="L120"/>
  <c r="L119" s="1"/>
  <c r="L118" s="1"/>
  <c r="K120"/>
  <c r="G120"/>
  <c r="G119" s="1"/>
  <c r="G118" s="1"/>
  <c r="F120"/>
  <c r="E120" s="1"/>
  <c r="O119"/>
  <c r="O118" s="1"/>
  <c r="N119"/>
  <c r="N118" s="1"/>
  <c r="M119"/>
  <c r="M118" s="1"/>
  <c r="I119"/>
  <c r="I118" s="1"/>
  <c r="H119"/>
  <c r="H118" s="1"/>
  <c r="F119"/>
  <c r="F118" s="1"/>
  <c r="F117"/>
  <c r="E117" s="1"/>
  <c r="Q117" s="1"/>
  <c r="F116"/>
  <c r="E116" s="1"/>
  <c r="Q116" s="1"/>
  <c r="F115"/>
  <c r="E115" s="1"/>
  <c r="Q115" s="1"/>
  <c r="E114"/>
  <c r="Q114" s="1"/>
  <c r="F113"/>
  <c r="E113" s="1"/>
  <c r="Q113" s="1"/>
  <c r="E112"/>
  <c r="Q112" s="1"/>
  <c r="E111"/>
  <c r="Q111" s="1"/>
  <c r="J110"/>
  <c r="G110"/>
  <c r="F110"/>
  <c r="F109" s="1"/>
  <c r="F108" s="1"/>
  <c r="P109"/>
  <c r="P108" s="1"/>
  <c r="O109"/>
  <c r="O108" s="1"/>
  <c r="N109"/>
  <c r="N108" s="1"/>
  <c r="M109"/>
  <c r="M108" s="1"/>
  <c r="L109"/>
  <c r="K109"/>
  <c r="K108" s="1"/>
  <c r="I109"/>
  <c r="I108" s="1"/>
  <c r="H109"/>
  <c r="H108" s="1"/>
  <c r="G109"/>
  <c r="G108" s="1"/>
  <c r="L108"/>
  <c r="P107"/>
  <c r="J107" s="1"/>
  <c r="Q107" s="1"/>
  <c r="L107"/>
  <c r="K107"/>
  <c r="P106"/>
  <c r="J106" s="1"/>
  <c r="Q106" s="1"/>
  <c r="L106"/>
  <c r="K106"/>
  <c r="K98" s="1"/>
  <c r="K97" s="1"/>
  <c r="J105"/>
  <c r="E105"/>
  <c r="J104"/>
  <c r="E104"/>
  <c r="N103"/>
  <c r="N98" s="1"/>
  <c r="N97" s="1"/>
  <c r="J103"/>
  <c r="F103"/>
  <c r="E103" s="1"/>
  <c r="J102"/>
  <c r="F102"/>
  <c r="E102" s="1"/>
  <c r="J101"/>
  <c r="F101"/>
  <c r="E101" s="1"/>
  <c r="N100"/>
  <c r="J100"/>
  <c r="F100"/>
  <c r="E100" s="1"/>
  <c r="G99"/>
  <c r="F99"/>
  <c r="E99" s="1"/>
  <c r="P98"/>
  <c r="O98"/>
  <c r="O97" s="1"/>
  <c r="M98"/>
  <c r="L98"/>
  <c r="L97" s="1"/>
  <c r="I98"/>
  <c r="I97" s="1"/>
  <c r="H98"/>
  <c r="H97" s="1"/>
  <c r="G98"/>
  <c r="G97" s="1"/>
  <c r="P97"/>
  <c r="E96"/>
  <c r="Q96" s="1"/>
  <c r="F95"/>
  <c r="E95" s="1"/>
  <c r="Q95" s="1"/>
  <c r="E94"/>
  <c r="Q94" s="1"/>
  <c r="E93"/>
  <c r="Q93" s="1"/>
  <c r="Q92"/>
  <c r="E92"/>
  <c r="J91"/>
  <c r="G91"/>
  <c r="E91"/>
  <c r="Q91" s="1"/>
  <c r="J90"/>
  <c r="G90"/>
  <c r="F90"/>
  <c r="E90" s="1"/>
  <c r="Q90" s="1"/>
  <c r="Q89"/>
  <c r="E89"/>
  <c r="Q88"/>
  <c r="Q87"/>
  <c r="Q86"/>
  <c r="Q85"/>
  <c r="E84"/>
  <c r="Q84" s="1"/>
  <c r="Q83"/>
  <c r="F83"/>
  <c r="E83"/>
  <c r="Q82"/>
  <c r="Q81"/>
  <c r="Q80"/>
  <c r="Q79"/>
  <c r="Q78"/>
  <c r="F78"/>
  <c r="E78"/>
  <c r="Q77"/>
  <c r="Q76"/>
  <c r="Q75"/>
  <c r="E75"/>
  <c r="E74"/>
  <c r="Q74" s="1"/>
  <c r="Q73"/>
  <c r="Q72"/>
  <c r="Q71"/>
  <c r="Q70"/>
  <c r="E69"/>
  <c r="Q69" s="1"/>
  <c r="J68"/>
  <c r="J67" s="1"/>
  <c r="J66" s="1"/>
  <c r="G68"/>
  <c r="F68"/>
  <c r="E68" s="1"/>
  <c r="P67"/>
  <c r="P66" s="1"/>
  <c r="O67"/>
  <c r="O66" s="1"/>
  <c r="N67"/>
  <c r="N66" s="1"/>
  <c r="M67"/>
  <c r="M66" s="1"/>
  <c r="L67"/>
  <c r="L66" s="1"/>
  <c r="K67"/>
  <c r="K66" s="1"/>
  <c r="I67"/>
  <c r="H67"/>
  <c r="H66" s="1"/>
  <c r="F67"/>
  <c r="F66" s="1"/>
  <c r="I66"/>
  <c r="P65"/>
  <c r="J65" s="1"/>
  <c r="Q65" s="1"/>
  <c r="L65"/>
  <c r="K65"/>
  <c r="J64"/>
  <c r="F64"/>
  <c r="E64" s="1"/>
  <c r="J63"/>
  <c r="E63"/>
  <c r="Q63" s="1"/>
  <c r="Q62"/>
  <c r="J62"/>
  <c r="E62"/>
  <c r="E61"/>
  <c r="Q61" s="1"/>
  <c r="J60"/>
  <c r="E60"/>
  <c r="Q60" s="1"/>
  <c r="Q59"/>
  <c r="J59"/>
  <c r="E59"/>
  <c r="J58"/>
  <c r="E58"/>
  <c r="Q58" s="1"/>
  <c r="J57"/>
  <c r="F57"/>
  <c r="E57" s="1"/>
  <c r="Q57" s="1"/>
  <c r="J56"/>
  <c r="F56"/>
  <c r="E56" s="1"/>
  <c r="J54"/>
  <c r="E54"/>
  <c r="J53"/>
  <c r="F53"/>
  <c r="E53" s="1"/>
  <c r="Q53" s="1"/>
  <c r="J52"/>
  <c r="E52"/>
  <c r="Q52" s="1"/>
  <c r="E51"/>
  <c r="Q51" s="1"/>
  <c r="J50"/>
  <c r="F50"/>
  <c r="E50" s="1"/>
  <c r="Q50" s="1"/>
  <c r="P48"/>
  <c r="J48" s="1"/>
  <c r="N48"/>
  <c r="N45" s="1"/>
  <c r="N44" s="1"/>
  <c r="L48"/>
  <c r="K48"/>
  <c r="F48"/>
  <c r="E48" s="1"/>
  <c r="P47"/>
  <c r="J47" s="1"/>
  <c r="L47"/>
  <c r="K47"/>
  <c r="G47"/>
  <c r="F47"/>
  <c r="E47" s="1"/>
  <c r="J46"/>
  <c r="G46"/>
  <c r="F46"/>
  <c r="E46" s="1"/>
  <c r="Q46" s="1"/>
  <c r="M45"/>
  <c r="M44" s="1"/>
  <c r="L45"/>
  <c r="L44" s="1"/>
  <c r="H45"/>
  <c r="G45"/>
  <c r="G44" s="1"/>
  <c r="H44"/>
  <c r="J43"/>
  <c r="Q43" s="1"/>
  <c r="E42"/>
  <c r="Q42" s="1"/>
  <c r="E41"/>
  <c r="Q41" s="1"/>
  <c r="J40"/>
  <c r="F40"/>
  <c r="E40"/>
  <c r="Q40" s="1"/>
  <c r="E39"/>
  <c r="Q39" s="1"/>
  <c r="F38"/>
  <c r="E38" s="1"/>
  <c r="Q38" s="1"/>
  <c r="F37"/>
  <c r="E37" s="1"/>
  <c r="Q37" s="1"/>
  <c r="E36"/>
  <c r="Q36" s="1"/>
  <c r="E35"/>
  <c r="Q35" s="1"/>
  <c r="J34"/>
  <c r="E34"/>
  <c r="Q34" s="1"/>
  <c r="P33"/>
  <c r="J33" s="1"/>
  <c r="L33"/>
  <c r="K33"/>
  <c r="F33"/>
  <c r="E33" s="1"/>
  <c r="J32"/>
  <c r="Q32" s="1"/>
  <c r="E31"/>
  <c r="Q31" s="1"/>
  <c r="Q30"/>
  <c r="E30"/>
  <c r="E29"/>
  <c r="Q29" s="1"/>
  <c r="E28"/>
  <c r="Q28" s="1"/>
  <c r="E27"/>
  <c r="Q27" s="1"/>
  <c r="J26"/>
  <c r="E26"/>
  <c r="Q26" s="1"/>
  <c r="E25"/>
  <c r="Q25" s="1"/>
  <c r="E24"/>
  <c r="Q24" s="1"/>
  <c r="Q23"/>
  <c r="E23"/>
  <c r="P22"/>
  <c r="J22" s="1"/>
  <c r="L22"/>
  <c r="K22"/>
  <c r="F22"/>
  <c r="E22" s="1"/>
  <c r="Q22" s="1"/>
  <c r="E21"/>
  <c r="Q21" s="1"/>
  <c r="Q20"/>
  <c r="E20"/>
  <c r="G19"/>
  <c r="F19"/>
  <c r="E19" s="1"/>
  <c r="Q19" s="1"/>
  <c r="G18"/>
  <c r="F18"/>
  <c r="E18" s="1"/>
  <c r="Q18" s="1"/>
  <c r="J17"/>
  <c r="G17"/>
  <c r="F17"/>
  <c r="E17" s="1"/>
  <c r="P16"/>
  <c r="P15" s="1"/>
  <c r="P14" s="1"/>
  <c r="P13" s="1"/>
  <c r="M16"/>
  <c r="M15" s="1"/>
  <c r="L16"/>
  <c r="K16"/>
  <c r="K15" s="1"/>
  <c r="K14" s="1"/>
  <c r="K13" s="1"/>
  <c r="G16"/>
  <c r="F16"/>
  <c r="L15"/>
  <c r="H15"/>
  <c r="H14" s="1"/>
  <c r="H13" s="1"/>
  <c r="J149" l="1"/>
  <c r="J148" s="1"/>
  <c r="F159"/>
  <c r="F158" s="1"/>
  <c r="G15"/>
  <c r="G14" s="1"/>
  <c r="G13" s="1"/>
  <c r="G67"/>
  <c r="G66" s="1"/>
  <c r="E110"/>
  <c r="E109" s="1"/>
  <c r="Q125"/>
  <c r="F15"/>
  <c r="Q157"/>
  <c r="K119"/>
  <c r="K118" s="1"/>
  <c r="K165" s="1"/>
  <c r="K111" i="12" s="1"/>
  <c r="O165" i="10"/>
  <c r="O111" i="12" s="1"/>
  <c r="Q102" i="10"/>
  <c r="L14"/>
  <c r="L13" s="1"/>
  <c r="L165" s="1"/>
  <c r="L111" i="12" s="1"/>
  <c r="Q105" i="10"/>
  <c r="Q123"/>
  <c r="Q134"/>
  <c r="Q144"/>
  <c r="P45"/>
  <c r="P44" s="1"/>
  <c r="Q54"/>
  <c r="Q104"/>
  <c r="Q126"/>
  <c r="E35" i="12"/>
  <c r="Q35" s="1"/>
  <c r="F29"/>
  <c r="Q81"/>
  <c r="J16" i="10"/>
  <c r="Q120"/>
  <c r="J119"/>
  <c r="J118" s="1"/>
  <c r="Q56"/>
  <c r="Q101"/>
  <c r="Q138"/>
  <c r="Q154"/>
  <c r="K45"/>
  <c r="K44" s="1"/>
  <c r="J98"/>
  <c r="J97" s="1"/>
  <c r="Q135"/>
  <c r="J143"/>
  <c r="J140" s="1"/>
  <c r="J139" s="1"/>
  <c r="Q48"/>
  <c r="Q129"/>
  <c r="Q137"/>
  <c r="Q145"/>
  <c r="M148"/>
  <c r="Q153"/>
  <c r="Q17"/>
  <c r="F45"/>
  <c r="F44" s="1"/>
  <c r="Q64"/>
  <c r="Q100"/>
  <c r="Q103"/>
  <c r="J109"/>
  <c r="J108" s="1"/>
  <c r="F87" i="12"/>
  <c r="F86" s="1"/>
  <c r="E43"/>
  <c r="Q43" s="1"/>
  <c r="Q88"/>
  <c r="E87"/>
  <c r="E86" s="1"/>
  <c r="Q92"/>
  <c r="Q16"/>
  <c r="Q15" s="1"/>
  <c r="E15"/>
  <c r="E59"/>
  <c r="Q59" s="1"/>
  <c r="Q60"/>
  <c r="Q61"/>
  <c r="F15"/>
  <c r="Q93"/>
  <c r="F52"/>
  <c r="E52" s="1"/>
  <c r="E51" s="1"/>
  <c r="Q51" s="1"/>
  <c r="E54"/>
  <c r="Q54" s="1"/>
  <c r="Q99" i="10"/>
  <c r="E98"/>
  <c r="J15"/>
  <c r="M14"/>
  <c r="G165"/>
  <c r="G111" i="12" s="1"/>
  <c r="Q33" i="10"/>
  <c r="H165"/>
  <c r="H111" i="12" s="1"/>
  <c r="J45" i="10"/>
  <c r="J44" s="1"/>
  <c r="Q161"/>
  <c r="E159"/>
  <c r="Q160"/>
  <c r="F14"/>
  <c r="F13" s="1"/>
  <c r="E15"/>
  <c r="E148"/>
  <c r="Q149"/>
  <c r="Q148" s="1"/>
  <c r="E45"/>
  <c r="Q47"/>
  <c r="E119"/>
  <c r="Q127"/>
  <c r="E67"/>
  <c r="Q68"/>
  <c r="E140"/>
  <c r="Q141"/>
  <c r="N165"/>
  <c r="N111" i="12" s="1"/>
  <c r="I165" i="10"/>
  <c r="I111" i="12" s="1"/>
  <c r="Q130" i="10"/>
  <c r="E16"/>
  <c r="Q16" s="1"/>
  <c r="M97"/>
  <c r="P159"/>
  <c r="P158" s="1"/>
  <c r="F98"/>
  <c r="F97" s="1"/>
  <c r="Q110"/>
  <c r="F148"/>
  <c r="P119"/>
  <c r="P118" s="1"/>
  <c r="P165" s="1"/>
  <c r="P111" i="12" s="1"/>
  <c r="Q86" l="1"/>
  <c r="Q87"/>
  <c r="Q143" i="10"/>
  <c r="Q52" i="12"/>
  <c r="F51"/>
  <c r="Q109" i="10"/>
  <c r="E108"/>
  <c r="Q108" s="1"/>
  <c r="M13"/>
  <c r="M165" s="1"/>
  <c r="J14"/>
  <c r="J13" s="1"/>
  <c r="E14"/>
  <c r="Q15"/>
  <c r="E139"/>
  <c r="Q140"/>
  <c r="Q139" s="1"/>
  <c r="E44"/>
  <c r="Q44" s="1"/>
  <c r="Q45"/>
  <c r="F165"/>
  <c r="F111" i="12" s="1"/>
  <c r="Q159" i="10"/>
  <c r="Q158" s="1"/>
  <c r="E158"/>
  <c r="Q98"/>
  <c r="Q97" s="1"/>
  <c r="E97"/>
  <c r="E118"/>
  <c r="Q118" s="1"/>
  <c r="Q119"/>
  <c r="E66"/>
  <c r="Q66" s="1"/>
  <c r="Q67"/>
  <c r="J165" l="1"/>
  <c r="J111" i="12" s="1"/>
  <c r="M111"/>
  <c r="Q14" i="10"/>
  <c r="E13"/>
  <c r="E165" l="1"/>
  <c r="Q13"/>
  <c r="Q165" l="1"/>
  <c r="Q111" i="12" s="1"/>
  <c r="E111"/>
  <c r="Q105"/>
  <c r="J105"/>
  <c r="E105"/>
  <c r="J104"/>
  <c r="E104"/>
  <c r="J103"/>
  <c r="E103"/>
  <c r="J102"/>
  <c r="E102"/>
  <c r="J101"/>
  <c r="E101"/>
  <c r="J100"/>
  <c r="Q100" s="1"/>
  <c r="E100"/>
  <c r="J99"/>
  <c r="E99"/>
  <c r="J98"/>
  <c r="E98"/>
  <c r="J97"/>
  <c r="E97"/>
  <c r="P95"/>
  <c r="O95"/>
  <c r="N95"/>
  <c r="M95"/>
  <c r="M91" s="1"/>
  <c r="M90" s="1"/>
  <c r="L95"/>
  <c r="K95"/>
  <c r="K91" s="1"/>
  <c r="K90" s="1"/>
  <c r="I95"/>
  <c r="I91" s="1"/>
  <c r="I90" s="1"/>
  <c r="H95"/>
  <c r="G95"/>
  <c r="F95"/>
  <c r="P84"/>
  <c r="J84"/>
  <c r="Q84" s="1"/>
  <c r="J83"/>
  <c r="K79"/>
  <c r="E83"/>
  <c r="O79"/>
  <c r="N79"/>
  <c r="H79"/>
  <c r="G79"/>
  <c r="F79"/>
  <c r="M79"/>
  <c r="I79"/>
  <c r="J78"/>
  <c r="E78"/>
  <c r="J77"/>
  <c r="E77"/>
  <c r="J76"/>
  <c r="E76"/>
  <c r="Q76" s="1"/>
  <c r="J75"/>
  <c r="E75"/>
  <c r="J74"/>
  <c r="E74"/>
  <c r="J73"/>
  <c r="E73"/>
  <c r="J72"/>
  <c r="E72"/>
  <c r="E71"/>
  <c r="J70"/>
  <c r="E70"/>
  <c r="J67"/>
  <c r="E67"/>
  <c r="J66"/>
  <c r="O63"/>
  <c r="N63"/>
  <c r="M63"/>
  <c r="L63"/>
  <c r="K63"/>
  <c r="I64"/>
  <c r="I63" s="1"/>
  <c r="H64"/>
  <c r="H63" s="1"/>
  <c r="G64"/>
  <c r="G63" s="1"/>
  <c r="J50"/>
  <c r="E50"/>
  <c r="P42"/>
  <c r="P41" s="1"/>
  <c r="O42"/>
  <c r="O41" s="1"/>
  <c r="N42"/>
  <c r="N41" s="1"/>
  <c r="M42"/>
  <c r="M41" s="1"/>
  <c r="L42"/>
  <c r="L41" s="1"/>
  <c r="K42"/>
  <c r="K41" s="1"/>
  <c r="J42"/>
  <c r="J41" s="1"/>
  <c r="I42"/>
  <c r="H42"/>
  <c r="H41" s="1"/>
  <c r="G42"/>
  <c r="G41" s="1"/>
  <c r="F41"/>
  <c r="J33"/>
  <c r="J29" s="1"/>
  <c r="E33"/>
  <c r="J30"/>
  <c r="E30"/>
  <c r="P28"/>
  <c r="O28"/>
  <c r="K28"/>
  <c r="I28"/>
  <c r="H28"/>
  <c r="G28"/>
  <c r="F28"/>
  <c r="N28"/>
  <c r="M28"/>
  <c r="L28"/>
  <c r="J27"/>
  <c r="Q27" s="1"/>
  <c r="J25"/>
  <c r="E25"/>
  <c r="P24"/>
  <c r="J24" s="1"/>
  <c r="L24"/>
  <c r="K24"/>
  <c r="F24"/>
  <c r="E24" s="1"/>
  <c r="P22"/>
  <c r="P14" s="1"/>
  <c r="L22"/>
  <c r="L14" s="1"/>
  <c r="K22"/>
  <c r="K14" s="1"/>
  <c r="F22"/>
  <c r="J21"/>
  <c r="E21"/>
  <c r="E20"/>
  <c r="N13"/>
  <c r="O13"/>
  <c r="I13"/>
  <c r="H13"/>
  <c r="G13"/>
  <c r="E14" l="1"/>
  <c r="F14"/>
  <c r="F13" s="1"/>
  <c r="Q20"/>
  <c r="Q50"/>
  <c r="J80"/>
  <c r="Q98"/>
  <c r="Q102"/>
  <c r="E80"/>
  <c r="E79" s="1"/>
  <c r="P79"/>
  <c r="P80"/>
  <c r="E29"/>
  <c r="Q29" s="1"/>
  <c r="Q67"/>
  <c r="Q74"/>
  <c r="Q70"/>
  <c r="Q97"/>
  <c r="Q73"/>
  <c r="L13"/>
  <c r="Q72"/>
  <c r="Q78"/>
  <c r="K13"/>
  <c r="K106" s="1"/>
  <c r="E91"/>
  <c r="O91"/>
  <c r="O90" s="1"/>
  <c r="N91"/>
  <c r="N90" s="1"/>
  <c r="N106" s="1"/>
  <c r="N112" s="1"/>
  <c r="J22"/>
  <c r="J14" s="1"/>
  <c r="L91"/>
  <c r="L90" s="1"/>
  <c r="Q101"/>
  <c r="F91"/>
  <c r="F90" s="1"/>
  <c r="Q25"/>
  <c r="Q104"/>
  <c r="Q24"/>
  <c r="J95"/>
  <c r="I41"/>
  <c r="I106" s="1"/>
  <c r="I112" s="1"/>
  <c r="E42"/>
  <c r="H91"/>
  <c r="H90" s="1"/>
  <c r="H106" s="1"/>
  <c r="H112" s="1"/>
  <c r="J79"/>
  <c r="Q103"/>
  <c r="E22"/>
  <c r="E66"/>
  <c r="E64" s="1"/>
  <c r="F64"/>
  <c r="F63" s="1"/>
  <c r="L79"/>
  <c r="G91"/>
  <c r="G90" s="1"/>
  <c r="G106" s="1"/>
  <c r="G112" s="1"/>
  <c r="P91"/>
  <c r="P90" s="1"/>
  <c r="P63"/>
  <c r="Q77"/>
  <c r="Q75"/>
  <c r="Q33"/>
  <c r="Q30"/>
  <c r="Q21"/>
  <c r="J28"/>
  <c r="Q83"/>
  <c r="J71"/>
  <c r="J64" s="1"/>
  <c r="Q99"/>
  <c r="M13"/>
  <c r="P13"/>
  <c r="Q22" l="1"/>
  <c r="E28"/>
  <c r="Q28" s="1"/>
  <c r="E13"/>
  <c r="K112"/>
  <c r="J13"/>
  <c r="F106"/>
  <c r="F112" s="1"/>
  <c r="M106"/>
  <c r="M112" s="1"/>
  <c r="P106"/>
  <c r="P112" s="1"/>
  <c r="O106"/>
  <c r="O112" s="1"/>
  <c r="Q66"/>
  <c r="L106"/>
  <c r="J91"/>
  <c r="Q91" s="1"/>
  <c r="Q90" s="1"/>
  <c r="Q42"/>
  <c r="Q41" s="1"/>
  <c r="E41"/>
  <c r="Q95"/>
  <c r="Q71"/>
  <c r="J63"/>
  <c r="Q64"/>
  <c r="E63"/>
  <c r="E90"/>
  <c r="Q80"/>
  <c r="Q79" s="1"/>
  <c r="L112" l="1"/>
  <c r="J106"/>
  <c r="J112" s="1"/>
  <c r="J90"/>
  <c r="E106"/>
  <c r="E112" s="1"/>
  <c r="Q14"/>
  <c r="Q63"/>
  <c r="Q13"/>
  <c r="Q106" l="1"/>
  <c r="Q112" l="1"/>
  <c r="R106" l="1"/>
  <c r="G97" i="14" l="1"/>
  <c r="H97"/>
  <c r="L96" l="1"/>
  <c r="F96"/>
  <c r="K96"/>
  <c r="P96"/>
  <c r="K97" l="1"/>
  <c r="M97"/>
  <c r="E96"/>
  <c r="P97"/>
  <c r="O97"/>
  <c r="L97"/>
  <c r="N97"/>
  <c r="J96" l="1"/>
  <c r="F97"/>
  <c r="E97" l="1"/>
  <c r="J97" l="1"/>
  <c r="Q96" l="1"/>
  <c r="Q97" s="1"/>
</calcChain>
</file>

<file path=xl/sharedStrings.xml><?xml version="1.0" encoding="utf-8"?>
<sst xmlns="http://schemas.openxmlformats.org/spreadsheetml/2006/main" count="1708" uniqueCount="438">
  <si>
    <t>Видатки загального фонду</t>
  </si>
  <si>
    <t>з них</t>
  </si>
  <si>
    <t>оплата праці</t>
  </si>
  <si>
    <t>комунальні послуги та енергоносії</t>
  </si>
  <si>
    <t>Видатки спеціального фонду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</si>
  <si>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</si>
  <si>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</si>
  <si>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Резервний фонд </t>
  </si>
  <si>
    <t>Реверсна дотація</t>
  </si>
  <si>
    <t>Відділ освіти Чорноморської  міської ради Одеської області</t>
  </si>
  <si>
    <t>Відділ  культури Чорноморської міської ради  Одеської області</t>
  </si>
  <si>
    <t>Фінансове управління Чорноморської міської ради Одеської області</t>
  </si>
  <si>
    <t>Бурлачобалківська сільська адміністрація Чорноморської міської ради Одеської області</t>
  </si>
  <si>
    <t>Відділ у справах сім`ї , молоді та спорту Чорноморської  міської ради Одеської області</t>
  </si>
  <si>
    <t>Малодолинська сільська адміністрація Чорноморської міської ради Одеської області</t>
  </si>
  <si>
    <t>Управління соціальної політики Чорноморської  міської ради Одеської області</t>
  </si>
  <si>
    <t>Відділ комунального господарства і благоустрою Чорноморської  міської ради Одеської області</t>
  </si>
  <si>
    <t>Управління комунальної  власності  та земельних відносин Чорноморської  міської ради Одеської області</t>
  </si>
  <si>
    <t>Виконавчий комітет Чорноморської міської ради Одеської області</t>
  </si>
  <si>
    <t xml:space="preserve">в тому числі оплата праці з нарахуваннями педагогічних працівників у таких типах навчальних закладів за рахунок освітньої  субвенції </t>
  </si>
  <si>
    <t>Управління капітального будівництва Чорноморської міської ради Одеської області</t>
  </si>
  <si>
    <t>0111</t>
  </si>
  <si>
    <t>1090</t>
  </si>
  <si>
    <t>0411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</si>
  <si>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</si>
  <si>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</si>
  <si>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</si>
  <si>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</si>
  <si>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</si>
  <si>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</si>
  <si>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</si>
  <si>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</si>
  <si>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</si>
  <si>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</si>
  <si>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</si>
  <si>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</si>
  <si>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освiти вечiрнiми (змiнними) школами</t>
  </si>
  <si>
    <t>0922</t>
  </si>
  <si>
    <t>0960</t>
  </si>
  <si>
    <t>Надання позашкільної освіти позашкільними закладами освіти, заходи із позашкільної роботи з дітьми</t>
  </si>
  <si>
    <t>0950</t>
  </si>
  <si>
    <t>0990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</si>
  <si>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</si>
  <si>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</si>
  <si>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</si>
  <si>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</si>
  <si>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</si>
  <si>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</si>
  <si>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</si>
  <si>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3140</t>
  </si>
  <si>
    <t>1113140</t>
  </si>
  <si>
    <t>Заходи державної політики з питань сім'ї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</si>
  <si>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</si>
  <si>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</si>
  <si>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</si>
  <si>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</si>
  <si>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</si>
  <si>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</si>
  <si>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</si>
  <si>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</si>
  <si>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3011</t>
  </si>
  <si>
    <t>3021</t>
  </si>
  <si>
    <t>3031</t>
  </si>
  <si>
    <t>3012</t>
  </si>
  <si>
    <t>1070</t>
  </si>
  <si>
    <t>Надання пільг окремим категоріям громадян з оплати послуг зв'язку</t>
  </si>
  <si>
    <t>3041</t>
  </si>
  <si>
    <t>Надання допомоги у зв`язку з вагітністю і пологами </t>
  </si>
  <si>
    <t>3042</t>
  </si>
  <si>
    <t>3043</t>
  </si>
  <si>
    <t>Надання допомоги при народженні дитини </t>
  </si>
  <si>
    <t>3044</t>
  </si>
  <si>
    <t>Надання допомоги на дітей, над якими встановлено опіку чи піклування </t>
  </si>
  <si>
    <t>3046</t>
  </si>
  <si>
    <t>Надання допомоги на дітей одиноким матерям </t>
  </si>
  <si>
    <t>3045</t>
  </si>
  <si>
    <t>3047</t>
  </si>
  <si>
    <t>Надання допомоги при усиновленні дитини </t>
  </si>
  <si>
    <t>Надання державної  соціальної  допомоги  малозабезпеченим сім`ям 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</si>
  <si>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</si>
  <si>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</si>
  <si>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3112</t>
  </si>
  <si>
    <t>4060</t>
  </si>
  <si>
    <t>0824</t>
  </si>
  <si>
    <t>0828</t>
  </si>
  <si>
    <t>0829</t>
  </si>
  <si>
    <t>0610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</si>
  <si>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</si>
  <si>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</si>
  <si>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</si>
  <si>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</si>
  <si>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</si>
  <si>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</si>
  <si>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</si>
  <si>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</si>
  <si>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</si>
  <si>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</si>
  <si>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</si>
  <si>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</si>
  <si>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</si>
  <si>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</si>
  <si>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0421</t>
  </si>
  <si>
    <t>Надання тимчасової  державної допомоги  дітям 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</si>
  <si>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</si>
  <si>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</si>
  <si>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</si>
  <si>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Cтоматологічна допомога населенню</t>
  </si>
  <si>
    <t>Організація благоустрою  населених пунктів</t>
  </si>
  <si>
    <t>0600000</t>
  </si>
  <si>
    <t>0610000</t>
  </si>
  <si>
    <t>0160</t>
  </si>
  <si>
    <t>0610160</t>
  </si>
  <si>
    <t>Керівництво і управління у відповідній сфері у містах (місті Києві), селищах, селах, об'єднаних територіальних громадах</t>
  </si>
  <si>
    <t>0611010</t>
  </si>
  <si>
    <t>Надання дошкільної освіти</t>
  </si>
  <si>
    <t>0611020</t>
  </si>
  <si>
    <t>0611030</t>
  </si>
  <si>
    <t>0611070</t>
  </si>
  <si>
    <t>0611090</t>
  </si>
  <si>
    <t>1140</t>
  </si>
  <si>
    <t>Підвищення кваліфікації, перепідготовка кадрів  закладами післядипломної освіти</t>
  </si>
  <si>
    <t>0611140</t>
  </si>
  <si>
    <t>0613140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</si>
  <si>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</si>
  <si>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</si>
  <si>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</si>
  <si>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</si>
  <si>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</si>
  <si>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</si>
  <si>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</si>
  <si>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</si>
  <si>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</si>
  <si>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</si>
  <si>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</si>
  <si>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</si>
  <si>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</si>
  <si>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1150</t>
  </si>
  <si>
    <t>0611150</t>
  </si>
  <si>
    <t xml:space="preserve">Методичне забезпечення діяльності навчальних закладів 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</si>
  <si>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</si>
  <si>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</si>
  <si>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</si>
  <si>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</si>
  <si>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</si>
  <si>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</si>
  <si>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</si>
  <si>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</si>
  <si>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</si>
  <si>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</si>
  <si>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</si>
  <si>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1100</t>
  </si>
  <si>
    <t>1011100</t>
  </si>
  <si>
    <t>Надання спеціальної освіти школами естетичного виховання (музичними, художніми, хореографічними, театральними, хоровими мистецькими)</t>
  </si>
  <si>
    <t>1110160</t>
  </si>
  <si>
    <t>3123</t>
  </si>
  <si>
    <t>1113123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</si>
  <si>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</si>
  <si>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</si>
  <si>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</si>
  <si>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</si>
  <si>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</si>
  <si>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</si>
  <si>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</si>
  <si>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</si>
  <si>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</si>
  <si>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</si>
  <si>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</si>
  <si>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</si>
  <si>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</si>
  <si>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8110</t>
  </si>
  <si>
    <t>0218110</t>
  </si>
  <si>
    <t>7640</t>
  </si>
  <si>
    <t>0217640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</si>
  <si>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</si>
  <si>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</si>
  <si>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</si>
  <si>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1216011</t>
  </si>
  <si>
    <t>Експлуатація та технічне обслуговування житлового фонду</t>
  </si>
  <si>
    <t>6013</t>
  </si>
  <si>
    <t>1216013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</si>
  <si>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</si>
  <si>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</si>
  <si>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</si>
  <si>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7650</t>
  </si>
  <si>
    <t>3117650</t>
  </si>
  <si>
    <t>Проведення експертної грошової оцінки земельної ділянки чи права на неї</t>
  </si>
  <si>
    <t>7130</t>
  </si>
  <si>
    <t>3117130</t>
  </si>
  <si>
    <t>Здійснення заходів із землеустрою</t>
  </si>
  <si>
    <t>3710180</t>
  </si>
  <si>
    <t>9110</t>
  </si>
  <si>
    <t>3719110</t>
  </si>
  <si>
    <t>8700</t>
  </si>
  <si>
    <t>3718700</t>
  </si>
  <si>
    <t>Надання пільг  на  оплату житлово-комунальних  послуг окремим категоріям громадян відповідно до законодавства</t>
  </si>
  <si>
    <t>0813011</t>
  </si>
  <si>
    <t>0813012</t>
  </si>
  <si>
    <t>Надання пільг   на придбання твердого  та  рідкого пічного побутового палива і скрапленого газу окремим категоріям громадян відповідно до законодавства</t>
  </si>
  <si>
    <t>0813021</t>
  </si>
  <si>
    <t>3022</t>
  </si>
  <si>
    <t>0813022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</si>
  <si>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</si>
  <si>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</si>
  <si>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</si>
  <si>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</si>
  <si>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0813041</t>
  </si>
  <si>
    <t>0813042</t>
  </si>
  <si>
    <t>0813043</t>
  </si>
  <si>
    <t>0813044</t>
  </si>
  <si>
    <t>0813045</t>
  </si>
  <si>
    <t>0813046</t>
  </si>
  <si>
    <t>0813047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</si>
  <si>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</si>
  <si>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</si>
  <si>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</si>
  <si>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</si>
  <si>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</si>
  <si>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</si>
  <si>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</si>
  <si>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7610</t>
  </si>
  <si>
    <t>0217610</t>
  </si>
  <si>
    <t>Сприяння розвитку малого та середнього підприємництва</t>
  </si>
  <si>
    <t>0210180</t>
  </si>
  <si>
    <t xml:space="preserve">Інша діяльність у сфері державного управління </t>
  </si>
  <si>
    <t>3104</t>
  </si>
  <si>
    <t>0813104</t>
  </si>
  <si>
    <t>Олександрівська селищна адміністрація Чорноморської міської ради Одеської області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</si>
  <si>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</si>
  <si>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</si>
  <si>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</si>
  <si>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</si>
  <si>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</si>
  <si>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</si>
  <si>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</si>
  <si>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1217640</t>
  </si>
  <si>
    <t>6012</t>
  </si>
  <si>
    <t>1216012</t>
  </si>
  <si>
    <t>Забезпечення діяльності з виробництва, транспортування, постачання теплової енергії</t>
  </si>
  <si>
    <t>7350</t>
  </si>
  <si>
    <t>1217350</t>
  </si>
  <si>
    <t>0443</t>
  </si>
  <si>
    <t>Розроблення схем планування та забудови територій (містобудівної документації)</t>
  </si>
  <si>
    <t>6082</t>
  </si>
  <si>
    <t>Придбання житла для окремих категорій населення відповідно до законодавства</t>
  </si>
  <si>
    <t>1516082</t>
  </si>
  <si>
    <t>8311</t>
  </si>
  <si>
    <t>1518311</t>
  </si>
  <si>
    <t xml:space="preserve">Охорона та раціональне використання природних ресурсів </t>
  </si>
  <si>
    <t>0511</t>
  </si>
  <si>
    <t>8340</t>
  </si>
  <si>
    <t>0218340</t>
  </si>
  <si>
    <t>2144</t>
  </si>
  <si>
    <t>0763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</si>
  <si>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</si>
  <si>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</si>
  <si>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</si>
  <si>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0212144</t>
  </si>
  <si>
    <t>0212146</t>
  </si>
  <si>
    <t>1218340</t>
  </si>
  <si>
    <t>1161</t>
  </si>
  <si>
    <t>0611161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</si>
  <si>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</si>
  <si>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</si>
  <si>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</si>
  <si>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</si>
  <si>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</si>
  <si>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7370</t>
  </si>
  <si>
    <t>1217370</t>
  </si>
  <si>
    <t>1517370</t>
  </si>
  <si>
    <t>3117370</t>
  </si>
  <si>
    <t>Природоохоронні заходи за рахунок цільових фондів</t>
  </si>
  <si>
    <t>7693</t>
  </si>
  <si>
    <t>0217693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</si>
  <si>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</si>
  <si>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</si>
  <si>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</si>
  <si>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</si>
  <si>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0813081</t>
  </si>
  <si>
    <t>0813083</t>
  </si>
  <si>
    <t>3081</t>
  </si>
  <si>
    <t>3083</t>
  </si>
  <si>
    <t>Надання державної соціальної допомоги особам з інвалідністю  з дитинства та дітям з інвалідністю</t>
  </si>
  <si>
    <t>Надання допомоги по  догляду за особами з інвалідністю    I чи II групи внаслідок психічного розладу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</si>
  <si>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</si>
  <si>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</si>
  <si>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</si>
  <si>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</si>
  <si>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</si>
  <si>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</si>
  <si>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</si>
  <si>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</si>
  <si>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</si>
  <si>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</si>
  <si>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</si>
  <si>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</si>
  <si>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</si>
  <si>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</si>
  <si>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</si>
  <si>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</si>
  <si>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</si>
  <si>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</si>
  <si>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</si>
  <si>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</si>
  <si>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</si>
  <si>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</si>
  <si>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1216016</t>
  </si>
  <si>
    <t>6016</t>
  </si>
  <si>
    <t>Впровадження засобів обліку витрат та регулювання споживання води та теплової енергії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</si>
  <si>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</si>
  <si>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</si>
  <si>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</si>
  <si>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</si>
  <si>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</si>
  <si>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0217350</t>
  </si>
  <si>
    <t>3719800</t>
  </si>
  <si>
    <t>Багатопрофільна стаціонарна медична допомога населенню</t>
  </si>
  <si>
    <t>1517691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</si>
  <si>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</si>
  <si>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</si>
  <si>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 т.ч. за програмами:</t>
  </si>
  <si>
    <t>0617370</t>
  </si>
  <si>
    <t>1217130</t>
  </si>
  <si>
    <t>9770</t>
  </si>
  <si>
    <t>Інші субвенції з місцевого бюджету</t>
  </si>
  <si>
    <t>3719770</t>
  </si>
  <si>
    <t>0810180</t>
  </si>
  <si>
    <t>до рішення Чорноморської міської ради</t>
  </si>
  <si>
    <t>в тому числі :</t>
  </si>
  <si>
    <t xml:space="preserve">оплата праці з нарахуваннями педагогічних працівників у таких типах навчальних закладів за рахунок освітньої  субвенції </t>
  </si>
  <si>
    <t>видатки споживання</t>
  </si>
  <si>
    <t xml:space="preserve">видатки розвитку </t>
  </si>
  <si>
    <t>Одеської області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</si>
  <si>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</si>
  <si>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</si>
  <si>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</si>
  <si>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</si>
  <si>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усього</t>
  </si>
  <si>
    <t>у тому числі бюджет розвитку</t>
  </si>
  <si>
    <t>видатки розвитку</t>
  </si>
  <si>
    <t>16=5+10</t>
  </si>
  <si>
    <t>(грн.)</t>
  </si>
  <si>
    <t>Додаток 5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</si>
  <si>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</si>
  <si>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</si>
  <si>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</si>
  <si>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 xml:space="preserve">Міська програма протидії  злочинності  та  посилення  громадської  безпеки  на  території   Чорноморської міської ради Одеської області на  2019 – 2022  роки </t>
  </si>
  <si>
    <t>Міська програма зміцнення законності, безпеки та порядку на території  м. Чорноморська «Безпечне місто Чорноморськ» на 2018 - 2019 роки</t>
  </si>
  <si>
    <t>Міська цільова соціальна програма розвитку цивільного захисту на 2016 – 2020 роки</t>
  </si>
  <si>
    <t xml:space="preserve">Міська програма організаційного забезпечення діяльності роботи Овідіопольского міськрайонного відділу філії Державної установи "Центр пробації" в Одеській області по здійсненню нагляду за особами, засудженими до покарань, не пов'язаних з позбавленням волі та попередження рецидивної злочинності на період 2019-2020 роки  </t>
  </si>
  <si>
    <t>Міська  програма забезпечення матеріально-технічної бази  для функціонування Центру обслуговування платників  податків Чорноморської ДПІ  Чорноморського управління Головного управління ДФС в Одеській області на 2019 рік</t>
  </si>
  <si>
    <t>Міська програма підтримки і розвитку навчально-матеріальної бази та соціального захисту студентів  Чорноморського  морського  коледжу  Одеського  національного морського університету на 2019 рік</t>
  </si>
  <si>
    <t>Міська цільова програма підтримки відділу прикордонної служби "Чорноморськ" Одеського прикордонного загону Південного регіонального управління Державної прикордонної служби України</t>
  </si>
  <si>
    <t>Міська програма удосконалення казначейського обслуговування міського бюджету м. Чорноморська та забезпечення обслуговування розпорядників та одержувачів бюджетних коштів Управлінням Державної казначейської служби України у м. Чорноморську Одеської області на 2019 рік</t>
  </si>
  <si>
    <t>Міська програма "Здоров’я населення Чорноморської територіальної громади" на 2016 - 2020 роки</t>
  </si>
  <si>
    <t xml:space="preserve">Зміни та доповнення до бюджетних призначень головним розпорядникам коштів бюджету міста Чорноморська  на 2019 рік у розрізі відповідальних виконавців за бюджетними програмами </t>
  </si>
  <si>
    <t>від  25.01.2019 р. №   382 -VII</t>
  </si>
  <si>
    <t>Розподіл видатків бюджету міста Чорноморська на 2019 рік у розрізі відповідальних виконавців за бюджетними програмами/підпрограмами</t>
  </si>
  <si>
    <t>за рахунок коштів медичної субвенці</t>
  </si>
  <si>
    <t>за рахунок дотації 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</si>
  <si>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за рахунок субвенції місцевого бюджету на здійснення переданих
 видатків у сфері охорони здоров'я за рахунок коштів медичної субвенції (передана до іншого місцевого бюджету)</t>
  </si>
  <si>
    <t>0213112</t>
  </si>
  <si>
    <t>0213140</t>
  </si>
  <si>
    <t>0218220</t>
  </si>
  <si>
    <t>8220</t>
  </si>
  <si>
    <t>0380</t>
  </si>
  <si>
    <t>Заходи та роботи з мобілізаційної підготовки місцевого значення</t>
  </si>
  <si>
    <t>оплата за проведення  корекційно - розвиткових занять і придбання спеціальних засобів корекції для учнів інклюзивних класів за рахунок субвенції на надання державної підтримки особам з особливими освітніми потребами</t>
  </si>
  <si>
    <t>0813048</t>
  </si>
  <si>
    <t>3048</t>
  </si>
  <si>
    <t>Надання при народженні дитини одноразової натуральної допомоги "Пакунок малюка"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</si>
  <si>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</si>
  <si>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</si>
  <si>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</si>
  <si>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0813082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</si>
  <si>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</si>
  <si>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</si>
  <si>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</si>
  <si>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</si>
  <si>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</si>
  <si>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</si>
  <si>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</si>
  <si>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</si>
  <si>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</si>
  <si>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1017370</t>
  </si>
  <si>
    <t>в т.ч. віднесені до резерву</t>
  </si>
  <si>
    <t>1113242</t>
  </si>
  <si>
    <t>1210170</t>
  </si>
  <si>
    <t>1518110</t>
  </si>
  <si>
    <t>3117660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</si>
  <si>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</si>
  <si>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</si>
  <si>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3117670</t>
  </si>
  <si>
    <t>7670</t>
  </si>
  <si>
    <t>Внески до статутного капіталу суб'єктів господарювання</t>
  </si>
  <si>
    <t>3117693</t>
  </si>
  <si>
    <t>Вик. О. М. Яковенко</t>
  </si>
  <si>
    <t>зі змінами</t>
  </si>
  <si>
    <t>початковий</t>
  </si>
  <si>
    <t>3116017</t>
  </si>
  <si>
    <t>Додаток 4</t>
  </si>
  <si>
    <t>Забезпечення діяльності інклюзивно - ресурсних центрів</t>
  </si>
  <si>
    <t>1170</t>
  </si>
  <si>
    <t>0611170</t>
  </si>
  <si>
    <t>в т.ч. за рахунок субвенції з місцевого бюджету на здійснення переданих видатків у сфері освіти за рахунок коштів освітньої субвенції</t>
  </si>
  <si>
    <t>кошти бюджету м.Чорноморська</t>
  </si>
  <si>
    <t>0218210</t>
  </si>
  <si>
    <t>8210</t>
  </si>
  <si>
    <t>Муніципальні формування з охорони громадського порядку</t>
  </si>
  <si>
    <t>0813087</t>
  </si>
  <si>
    <t>3087</t>
  </si>
  <si>
    <t>Надання допомоги на дітей, які виховуються у багатодітних сім'ях</t>
  </si>
  <si>
    <t>продукти харчування</t>
  </si>
  <si>
    <t>оплата комунальних послуг</t>
  </si>
  <si>
    <t>1517350</t>
  </si>
  <si>
    <t>0213192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</si>
  <si>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</si>
  <si>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Секретар   міської ради</t>
  </si>
  <si>
    <t>О. П. Лисиця</t>
  </si>
  <si>
    <t xml:space="preserve">проверка початк+зміни 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</si>
  <si>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</si>
  <si>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проверка между додатками</t>
  </si>
  <si>
    <t>від      09.04.2019р. №  414  - VII</t>
  </si>
  <si>
    <t>в тому числі 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</si>
  <si>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на відрядження для підвищення кваліфікації вчителів, асистентів вчителів закладів загальної середньої освіти з інклюзивним та інтегрованим навчанням директорів закладів середньої освіти за рахунок субвенції з місцевого бюджету на забезпечення якісної, сучасної та доступної загальної середньої освіти "Нова українська школа"</t>
  </si>
  <si>
    <t>перевірка з дод.3</t>
  </si>
  <si>
    <t>0813049</t>
  </si>
  <si>
    <t>3049</t>
  </si>
  <si>
    <t>Відшкодування послуги з догляду за дитиною до трьох років "муніципальна няня"</t>
  </si>
  <si>
    <t>(зі змінами, внесеними рішенням</t>
  </si>
  <si>
    <t>Чорноморської міської ради Одеської області</t>
  </si>
  <si>
    <t>від 09.04.2019р. № 414-VII)</t>
  </si>
  <si>
    <t>в т.ч. за рахунок субвенції з державного бюджету місцевим бюджетам на здійснення заходів щодо соціально - економічного розвитку окремих територій</t>
  </si>
  <si>
    <t>на закупівлю музичних інструментів, комп'ютерного обладнання, відповідного мультімедійного контенту за рахунок субвенції з місцевого бюджету на забезпечення якісної, сучасної та доступної загальної середньої освіти "Нова українська школа"</t>
  </si>
  <si>
    <t>Керуюча справами</t>
  </si>
  <si>
    <t>Н.В.Кушніренко</t>
  </si>
  <si>
    <t>Додаток 3</t>
  </si>
  <si>
    <t xml:space="preserve">до рішення виконавчого комітету </t>
  </si>
  <si>
    <t xml:space="preserve">від                      2019 р. №         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</si>
</sst>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0"/>
  </numFmts>
  <fonts count="2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FF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color rgb="FF0000FF"/>
      <name val="Times New Roman"/>
      <family val="1"/>
    </font>
    <font>
      <b/>
      <sz val="12"/>
      <name val="Calibri"/>
      <family val="2"/>
      <charset val="204"/>
    </font>
    <font>
      <i/>
      <sz val="12"/>
      <name val="Calibri"/>
      <family val="2"/>
      <charset val="204"/>
      <scheme val="minor"/>
    </font>
    <font>
      <sz val="14"/>
      <color rgb="FF0000FF"/>
      <name val="Times New Roman"/>
      <family val="1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161">
    <xf numFmtId="0" fontId="0" fillId="0" borderId="0" xfId="0"/>
    <xf numFmtId="49" fontId="12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1" fillId="2" borderId="0" xfId="0" applyFont="1" applyFill="1"/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wrapText="1"/>
    </xf>
    <xf numFmtId="0" fontId="8" fillId="2" borderId="0" xfId="0" applyFont="1" applyFill="1"/>
    <xf numFmtId="0" fontId="13" fillId="2" borderId="0" xfId="0" applyFont="1" applyFill="1"/>
    <xf numFmtId="0" fontId="5" fillId="2" borderId="1" xfId="2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0" xfId="2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/>
    </xf>
    <xf numFmtId="0" fontId="7" fillId="2" borderId="1" xfId="2" applyFont="1" applyFill="1" applyBorder="1" applyAlignment="1">
      <alignment horizontal="center" wrapText="1"/>
    </xf>
    <xf numFmtId="0" fontId="5" fillId="2" borderId="1" xfId="1" applyFont="1" applyFill="1" applyBorder="1" applyAlignment="1">
      <alignment wrapText="1"/>
    </xf>
    <xf numFmtId="0" fontId="5" fillId="2" borderId="0" xfId="0" applyFont="1" applyFill="1"/>
    <xf numFmtId="0" fontId="7" fillId="2" borderId="0" xfId="0" applyFont="1" applyFill="1"/>
    <xf numFmtId="0" fontId="14" fillId="2" borderId="0" xfId="0" applyFont="1" applyFill="1" applyAlignment="1">
      <alignment horizontal="left"/>
    </xf>
    <xf numFmtId="49" fontId="15" fillId="2" borderId="1" xfId="0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wrapText="1"/>
    </xf>
    <xf numFmtId="0" fontId="15" fillId="2" borderId="0" xfId="0" applyFont="1" applyFill="1"/>
    <xf numFmtId="0" fontId="5" fillId="2" borderId="1" xfId="3" applyFont="1" applyFill="1" applyBorder="1" applyAlignment="1">
      <alignment wrapText="1"/>
    </xf>
    <xf numFmtId="0" fontId="7" fillId="2" borderId="1" xfId="2" applyFont="1" applyFill="1" applyBorder="1" applyAlignment="1"/>
    <xf numFmtId="49" fontId="5" fillId="2" borderId="0" xfId="0" applyNumberFormat="1" applyFont="1" applyFill="1"/>
    <xf numFmtId="164" fontId="16" fillId="2" borderId="0" xfId="2" applyNumberFormat="1" applyFont="1" applyFill="1"/>
    <xf numFmtId="0" fontId="16" fillId="2" borderId="0" xfId="2" applyFont="1" applyFill="1"/>
    <xf numFmtId="165" fontId="5" fillId="2" borderId="0" xfId="0" applyNumberFormat="1" applyFont="1" applyFill="1"/>
    <xf numFmtId="49" fontId="2" fillId="2" borderId="1" xfId="0" applyNumberFormat="1" applyFont="1" applyFill="1" applyBorder="1" applyAlignment="1">
      <alignment horizontal="center"/>
    </xf>
    <xf numFmtId="164" fontId="5" fillId="2" borderId="0" xfId="0" applyNumberFormat="1" applyFont="1" applyFill="1"/>
    <xf numFmtId="1" fontId="5" fillId="2" borderId="0" xfId="0" applyNumberFormat="1" applyFont="1" applyFill="1"/>
    <xf numFmtId="0" fontId="2" fillId="2" borderId="1" xfId="3" applyFont="1" applyFill="1" applyBorder="1" applyAlignment="1">
      <alignment wrapText="1"/>
    </xf>
    <xf numFmtId="0" fontId="15" fillId="2" borderId="1" xfId="2" applyFont="1" applyFill="1" applyBorder="1" applyAlignment="1">
      <alignment wrapText="1"/>
    </xf>
    <xf numFmtId="0" fontId="17" fillId="2" borderId="0" xfId="0" applyFont="1" applyFill="1" applyAlignment="1"/>
    <xf numFmtId="0" fontId="19" fillId="2" borderId="0" xfId="0" applyFont="1" applyFill="1"/>
    <xf numFmtId="1" fontId="15" fillId="2" borderId="0" xfId="0" applyNumberFormat="1" applyFont="1" applyFill="1"/>
    <xf numFmtId="0" fontId="16" fillId="2" borderId="0" xfId="0" applyFont="1" applyFill="1"/>
    <xf numFmtId="0" fontId="20" fillId="2" borderId="0" xfId="0" applyFont="1" applyFill="1"/>
    <xf numFmtId="0" fontId="19" fillId="3" borderId="0" xfId="0" applyFont="1" applyFill="1"/>
    <xf numFmtId="0" fontId="13" fillId="3" borderId="0" xfId="0" applyFont="1" applyFill="1"/>
    <xf numFmtId="0" fontId="5" fillId="3" borderId="0" xfId="0" applyFont="1" applyFill="1"/>
    <xf numFmtId="0" fontId="7" fillId="3" borderId="0" xfId="0" applyFont="1" applyFill="1"/>
    <xf numFmtId="164" fontId="21" fillId="2" borderId="0" xfId="0" applyNumberFormat="1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2" fillId="4" borderId="0" xfId="0" applyFont="1" applyFill="1" applyAlignment="1">
      <alignment horizontal="center"/>
    </xf>
    <xf numFmtId="0" fontId="2" fillId="4" borderId="0" xfId="2" applyFont="1" applyFill="1"/>
    <xf numFmtId="0" fontId="2" fillId="4" borderId="6" xfId="2" applyFont="1" applyFill="1" applyBorder="1" applyAlignment="1">
      <alignment vertical="center" wrapText="1"/>
    </xf>
    <xf numFmtId="0" fontId="2" fillId="4" borderId="6" xfId="2" applyFont="1" applyFill="1" applyBorder="1" applyAlignment="1">
      <alignment horizontal="center" vertical="center" wrapText="1"/>
    </xf>
    <xf numFmtId="0" fontId="6" fillId="4" borderId="6" xfId="2" applyFont="1" applyFill="1" applyBorder="1" applyAlignment="1">
      <alignment horizontal="center" vertical="center" wrapText="1"/>
    </xf>
    <xf numFmtId="0" fontId="2" fillId="4" borderId="1" xfId="2" applyFont="1" applyFill="1" applyBorder="1" applyAlignment="1">
      <alignment horizontal="center" vertical="center" wrapText="1"/>
    </xf>
    <xf numFmtId="0" fontId="16" fillId="4" borderId="0" xfId="2" applyFont="1" applyFill="1"/>
    <xf numFmtId="0" fontId="11" fillId="4" borderId="0" xfId="0" applyFont="1" applyFill="1"/>
    <xf numFmtId="0" fontId="15" fillId="2" borderId="1" xfId="2" applyFont="1" applyFill="1" applyBorder="1" applyAlignment="1">
      <alignment horizontal="left" wrapText="1"/>
    </xf>
    <xf numFmtId="0" fontId="20" fillId="3" borderId="0" xfId="0" applyFont="1" applyFill="1"/>
    <xf numFmtId="4" fontId="10" fillId="2" borderId="1" xfId="2" applyNumberFormat="1" applyFont="1" applyFill="1" applyBorder="1" applyAlignment="1">
      <alignment horizontal="center"/>
    </xf>
    <xf numFmtId="4" fontId="10" fillId="2" borderId="1" xfId="0" applyNumberFormat="1" applyFont="1" applyFill="1" applyBorder="1" applyAlignment="1">
      <alignment horizontal="center"/>
    </xf>
    <xf numFmtId="4" fontId="10" fillId="4" borderId="1" xfId="0" applyNumberFormat="1" applyFont="1" applyFill="1" applyBorder="1" applyAlignment="1">
      <alignment horizontal="center"/>
    </xf>
    <xf numFmtId="4" fontId="22" fillId="2" borderId="1" xfId="2" applyNumberFormat="1" applyFont="1" applyFill="1" applyBorder="1" applyAlignment="1">
      <alignment horizontal="center" wrapText="1"/>
    </xf>
    <xf numFmtId="4" fontId="22" fillId="4" borderId="1" xfId="2" applyNumberFormat="1" applyFont="1" applyFill="1" applyBorder="1" applyAlignment="1">
      <alignment horizontal="center" wrapText="1"/>
    </xf>
    <xf numFmtId="4" fontId="22" fillId="2" borderId="1" xfId="2" applyNumberFormat="1" applyFont="1" applyFill="1" applyBorder="1" applyAlignment="1">
      <alignment horizontal="center"/>
    </xf>
    <xf numFmtId="4" fontId="22" fillId="4" borderId="1" xfId="2" applyNumberFormat="1" applyFont="1" applyFill="1" applyBorder="1" applyAlignment="1">
      <alignment horizontal="center"/>
    </xf>
    <xf numFmtId="4" fontId="10" fillId="4" borderId="1" xfId="2" applyNumberFormat="1" applyFont="1" applyFill="1" applyBorder="1" applyAlignment="1">
      <alignment horizontal="center"/>
    </xf>
    <xf numFmtId="4" fontId="23" fillId="2" borderId="1" xfId="2" applyNumberFormat="1" applyFont="1" applyFill="1" applyBorder="1" applyAlignment="1">
      <alignment horizontal="center"/>
    </xf>
    <xf numFmtId="4" fontId="23" fillId="4" borderId="1" xfId="2" applyNumberFormat="1" applyFont="1" applyFill="1" applyBorder="1" applyAlignment="1">
      <alignment horizontal="center"/>
    </xf>
    <xf numFmtId="4" fontId="22" fillId="2" borderId="1" xfId="0" applyNumberFormat="1" applyFont="1" applyFill="1" applyBorder="1" applyAlignment="1">
      <alignment horizontal="center"/>
    </xf>
    <xf numFmtId="4" fontId="22" fillId="4" borderId="1" xfId="0" applyNumberFormat="1" applyFont="1" applyFill="1" applyBorder="1" applyAlignment="1">
      <alignment horizontal="center"/>
    </xf>
    <xf numFmtId="0" fontId="5" fillId="2" borderId="1" xfId="2" applyFont="1" applyFill="1" applyBorder="1" applyAlignment="1">
      <alignment horizontal="left" wrapText="1"/>
    </xf>
    <xf numFmtId="0" fontId="2" fillId="2" borderId="1" xfId="2" applyFont="1" applyFill="1" applyBorder="1" applyAlignment="1">
      <alignment horizontal="center" vertical="center" wrapText="1"/>
    </xf>
    <xf numFmtId="3" fontId="22" fillId="2" borderId="1" xfId="2" applyNumberFormat="1" applyFont="1" applyFill="1" applyBorder="1" applyAlignment="1">
      <alignment horizontal="center" wrapText="1"/>
    </xf>
    <xf numFmtId="3" fontId="22" fillId="4" borderId="1" xfId="2" applyNumberFormat="1" applyFont="1" applyFill="1" applyBorder="1" applyAlignment="1">
      <alignment horizontal="center" wrapText="1"/>
    </xf>
    <xf numFmtId="3" fontId="22" fillId="2" borderId="1" xfId="2" applyNumberFormat="1" applyFont="1" applyFill="1" applyBorder="1" applyAlignment="1">
      <alignment horizontal="center"/>
    </xf>
    <xf numFmtId="3" fontId="22" fillId="4" borderId="1" xfId="2" applyNumberFormat="1" applyFont="1" applyFill="1" applyBorder="1" applyAlignment="1">
      <alignment horizontal="center"/>
    </xf>
    <xf numFmtId="3" fontId="10" fillId="2" borderId="1" xfId="2" applyNumberFormat="1" applyFont="1" applyFill="1" applyBorder="1" applyAlignment="1">
      <alignment horizontal="center"/>
    </xf>
    <xf numFmtId="0" fontId="15" fillId="2" borderId="1" xfId="2" applyFont="1" applyFill="1" applyBorder="1" applyAlignment="1">
      <alignment vertical="top" wrapText="1"/>
    </xf>
    <xf numFmtId="3" fontId="23" fillId="2" borderId="1" xfId="2" applyNumberFormat="1" applyFont="1" applyFill="1" applyBorder="1" applyAlignment="1">
      <alignment horizontal="center"/>
    </xf>
    <xf numFmtId="164" fontId="15" fillId="2" borderId="0" xfId="0" applyNumberFormat="1" applyFont="1" applyFill="1"/>
    <xf numFmtId="3" fontId="10" fillId="4" borderId="1" xfId="2" applyNumberFormat="1" applyFont="1" applyFill="1" applyBorder="1" applyAlignment="1">
      <alignment horizontal="center"/>
    </xf>
    <xf numFmtId="3" fontId="23" fillId="4" borderId="1" xfId="2" applyNumberFormat="1" applyFont="1" applyFill="1" applyBorder="1" applyAlignment="1">
      <alignment horizontal="center"/>
    </xf>
    <xf numFmtId="0" fontId="15" fillId="2" borderId="1" xfId="0" applyFont="1" applyFill="1" applyBorder="1" applyAlignment="1">
      <alignment horizontal="left" vertical="top" wrapText="1"/>
    </xf>
    <xf numFmtId="3" fontId="10" fillId="2" borderId="1" xfId="0" applyNumberFormat="1" applyFont="1" applyFill="1" applyBorder="1" applyAlignment="1">
      <alignment horizontal="center"/>
    </xf>
    <xf numFmtId="3" fontId="10" fillId="4" borderId="1" xfId="0" applyNumberFormat="1" applyFont="1" applyFill="1" applyBorder="1" applyAlignment="1">
      <alignment horizontal="center"/>
    </xf>
    <xf numFmtId="3" fontId="23" fillId="2" borderId="1" xfId="0" applyNumberFormat="1" applyFont="1" applyFill="1" applyBorder="1" applyAlignment="1">
      <alignment horizontal="center"/>
    </xf>
    <xf numFmtId="3" fontId="23" fillId="4" borderId="1" xfId="0" applyNumberFormat="1" applyFont="1" applyFill="1" applyBorder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3" fontId="22" fillId="2" borderId="1" xfId="0" applyNumberFormat="1" applyFont="1" applyFill="1" applyBorder="1" applyAlignment="1">
      <alignment horizontal="center"/>
    </xf>
    <xf numFmtId="3" fontId="22" fillId="4" borderId="1" xfId="0" applyNumberFormat="1" applyFont="1" applyFill="1" applyBorder="1" applyAlignment="1">
      <alignment horizontal="center"/>
    </xf>
    <xf numFmtId="0" fontId="11" fillId="3" borderId="0" xfId="0" applyFont="1" applyFill="1"/>
    <xf numFmtId="3" fontId="10" fillId="4" borderId="1" xfId="0" applyNumberFormat="1" applyFont="1" applyFill="1" applyBorder="1"/>
    <xf numFmtId="3" fontId="10" fillId="2" borderId="1" xfId="0" applyNumberFormat="1" applyFont="1" applyFill="1" applyBorder="1"/>
    <xf numFmtId="3" fontId="23" fillId="4" borderId="1" xfId="0" applyNumberFormat="1" applyFont="1" applyFill="1" applyBorder="1"/>
    <xf numFmtId="0" fontId="17" fillId="2" borderId="1" xfId="0" applyFont="1" applyFill="1" applyBorder="1" applyAlignment="1">
      <alignment wrapText="1"/>
    </xf>
    <xf numFmtId="164" fontId="5" fillId="2" borderId="0" xfId="2" applyNumberFormat="1" applyFont="1" applyFill="1"/>
    <xf numFmtId="0" fontId="5" fillId="4" borderId="0" xfId="0" applyFont="1" applyFill="1"/>
    <xf numFmtId="3" fontId="5" fillId="2" borderId="0" xfId="0" applyNumberFormat="1" applyFont="1" applyFill="1"/>
    <xf numFmtId="3" fontId="5" fillId="4" borderId="0" xfId="0" applyNumberFormat="1" applyFont="1" applyFill="1"/>
    <xf numFmtId="49" fontId="24" fillId="2" borderId="0" xfId="0" applyNumberFormat="1" applyFont="1" applyFill="1"/>
    <xf numFmtId="4" fontId="7" fillId="2" borderId="0" xfId="0" applyNumberFormat="1" applyFont="1" applyFill="1"/>
    <xf numFmtId="0" fontId="25" fillId="2" borderId="0" xfId="0" applyFont="1" applyFill="1"/>
    <xf numFmtId="0" fontId="15" fillId="2" borderId="1" xfId="1" applyFont="1" applyFill="1" applyBorder="1" applyAlignment="1">
      <alignment wrapText="1"/>
    </xf>
    <xf numFmtId="4" fontId="23" fillId="2" borderId="1" xfId="0" applyNumberFormat="1" applyFont="1" applyFill="1" applyBorder="1" applyAlignment="1">
      <alignment horizontal="center"/>
    </xf>
    <xf numFmtId="4" fontId="23" fillId="4" borderId="1" xfId="0" applyNumberFormat="1" applyFont="1" applyFill="1" applyBorder="1" applyAlignment="1">
      <alignment horizontal="center"/>
    </xf>
    <xf numFmtId="4" fontId="13" fillId="2" borderId="0" xfId="0" applyNumberFormat="1" applyFont="1" applyFill="1"/>
    <xf numFmtId="49" fontId="26" fillId="2" borderId="0" xfId="0" applyNumberFormat="1" applyFont="1" applyFill="1"/>
    <xf numFmtId="0" fontId="26" fillId="2" borderId="0" xfId="0" applyFont="1" applyFill="1"/>
    <xf numFmtId="0" fontId="26" fillId="4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/>
    </xf>
    <xf numFmtId="4" fontId="11" fillId="2" borderId="0" xfId="0" applyNumberFormat="1" applyFont="1" applyFill="1"/>
    <xf numFmtId="49" fontId="27" fillId="2" borderId="0" xfId="0" applyNumberFormat="1" applyFont="1" applyFill="1"/>
    <xf numFmtId="0" fontId="28" fillId="2" borderId="0" xfId="0" applyFont="1" applyFill="1"/>
    <xf numFmtId="4" fontId="28" fillId="2" borderId="0" xfId="0" applyNumberFormat="1" applyFont="1" applyFill="1"/>
    <xf numFmtId="4" fontId="2" fillId="2" borderId="0" xfId="2" applyNumberFormat="1" applyFont="1" applyFill="1"/>
    <xf numFmtId="4" fontId="2" fillId="2" borderId="0" xfId="0" applyNumberFormat="1" applyFont="1" applyFill="1" applyAlignment="1">
      <alignment horizontal="center"/>
    </xf>
    <xf numFmtId="4" fontId="10" fillId="2" borderId="1" xfId="0" applyNumberFormat="1" applyFont="1" applyFill="1" applyBorder="1"/>
    <xf numFmtId="0" fontId="2" fillId="5" borderId="0" xfId="0" applyFont="1" applyFill="1" applyAlignment="1">
      <alignment horizontal="center"/>
    </xf>
    <xf numFmtId="4" fontId="2" fillId="5" borderId="0" xfId="2" applyNumberFormat="1" applyFont="1" applyFill="1"/>
    <xf numFmtId="0" fontId="2" fillId="5" borderId="6" xfId="2" applyFont="1" applyFill="1" applyBorder="1" applyAlignment="1">
      <alignment vertical="center" wrapText="1"/>
    </xf>
    <xf numFmtId="0" fontId="2" fillId="5" borderId="6" xfId="2" applyFont="1" applyFill="1" applyBorder="1" applyAlignment="1">
      <alignment horizontal="center" vertical="center" wrapText="1"/>
    </xf>
    <xf numFmtId="0" fontId="6" fillId="5" borderId="6" xfId="2" applyFont="1" applyFill="1" applyBorder="1" applyAlignment="1">
      <alignment horizontal="center" vertical="center" wrapText="1"/>
    </xf>
    <xf numFmtId="0" fontId="2" fillId="5" borderId="1" xfId="2" applyFont="1" applyFill="1" applyBorder="1" applyAlignment="1">
      <alignment horizontal="center" vertical="center" wrapText="1"/>
    </xf>
    <xf numFmtId="4" fontId="22" fillId="5" borderId="1" xfId="2" applyNumberFormat="1" applyFont="1" applyFill="1" applyBorder="1" applyAlignment="1">
      <alignment horizontal="center" wrapText="1"/>
    </xf>
    <xf numFmtId="4" fontId="22" fillId="5" borderId="1" xfId="2" applyNumberFormat="1" applyFont="1" applyFill="1" applyBorder="1" applyAlignment="1">
      <alignment horizontal="center"/>
    </xf>
    <xf numFmtId="4" fontId="10" fillId="5" borderId="1" xfId="2" applyNumberFormat="1" applyFont="1" applyFill="1" applyBorder="1" applyAlignment="1">
      <alignment horizontal="center"/>
    </xf>
    <xf numFmtId="4" fontId="23" fillId="5" borderId="1" xfId="2" applyNumberFormat="1" applyFont="1" applyFill="1" applyBorder="1" applyAlignment="1">
      <alignment horizontal="center"/>
    </xf>
    <xf numFmtId="4" fontId="10" fillId="5" borderId="1" xfId="0" applyNumberFormat="1" applyFont="1" applyFill="1" applyBorder="1" applyAlignment="1">
      <alignment horizontal="center"/>
    </xf>
    <xf numFmtId="4" fontId="23" fillId="5" borderId="1" xfId="0" applyNumberFormat="1" applyFont="1" applyFill="1" applyBorder="1" applyAlignment="1">
      <alignment horizontal="center"/>
    </xf>
    <xf numFmtId="4" fontId="22" fillId="5" borderId="1" xfId="0" applyNumberFormat="1" applyFont="1" applyFill="1" applyBorder="1" applyAlignment="1">
      <alignment horizontal="center"/>
    </xf>
    <xf numFmtId="4" fontId="10" fillId="5" borderId="1" xfId="0" applyNumberFormat="1" applyFont="1" applyFill="1" applyBorder="1"/>
    <xf numFmtId="4" fontId="23" fillId="5" borderId="1" xfId="0" applyNumberFormat="1" applyFont="1" applyFill="1" applyBorder="1"/>
    <xf numFmtId="0" fontId="16" fillId="5" borderId="0" xfId="2" applyFont="1" applyFill="1"/>
    <xf numFmtId="0" fontId="5" fillId="5" borderId="0" xfId="0" applyFont="1" applyFill="1"/>
    <xf numFmtId="0" fontId="11" fillId="5" borderId="0" xfId="0" applyFont="1" applyFill="1"/>
    <xf numFmtId="4" fontId="28" fillId="5" borderId="0" xfId="0" applyNumberFormat="1" applyFont="1" applyFill="1"/>
    <xf numFmtId="4" fontId="11" fillId="5" borderId="0" xfId="0" applyNumberFormat="1" applyFont="1" applyFill="1"/>
    <xf numFmtId="0" fontId="2" fillId="2" borderId="1" xfId="2" applyFont="1" applyFill="1" applyBorder="1" applyAlignment="1">
      <alignment horizontal="center" vertical="center" wrapText="1"/>
    </xf>
    <xf numFmtId="0" fontId="10" fillId="2" borderId="0" xfId="0" applyFont="1" applyFill="1"/>
    <xf numFmtId="49" fontId="10" fillId="2" borderId="0" xfId="0" applyNumberFormat="1" applyFont="1" applyFill="1"/>
    <xf numFmtId="164" fontId="10" fillId="2" borderId="0" xfId="2" applyNumberFormat="1" applyFont="1" applyFill="1"/>
    <xf numFmtId="0" fontId="10" fillId="2" borderId="0" xfId="2" applyFont="1" applyFill="1"/>
    <xf numFmtId="0" fontId="10" fillId="5" borderId="0" xfId="2" applyFont="1" applyFill="1"/>
    <xf numFmtId="0" fontId="10" fillId="5" borderId="0" xfId="0" applyFont="1" applyFill="1"/>
    <xf numFmtId="0" fontId="10" fillId="0" borderId="0" xfId="0" applyFont="1"/>
    <xf numFmtId="0" fontId="2" fillId="2" borderId="1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/>
    </xf>
    <xf numFmtId="49" fontId="4" fillId="2" borderId="2" xfId="1" applyNumberFormat="1" applyFont="1" applyFill="1" applyBorder="1" applyAlignment="1" applyProtection="1">
      <alignment horizontal="center" vertical="center" wrapText="1"/>
    </xf>
    <xf numFmtId="49" fontId="4" fillId="2" borderId="3" xfId="1" applyNumberFormat="1" applyFont="1" applyFill="1" applyBorder="1" applyAlignment="1" applyProtection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 wrapText="1"/>
    </xf>
    <xf numFmtId="49" fontId="4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_дод 2" xfId="3"/>
    <cellStyle name="Обычный_дод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.3%20&#1074;&#1080;&#1076;&#1072;&#1090;&#1082;&#1080;_&#1091;&#1079;&#1072;&#1075;_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чатковий"/>
      <sheetName val="зміни квітень"/>
      <sheetName val="зі змінами 09.04.19"/>
      <sheetName val="зміни червень"/>
    </sheetNames>
    <sheetDataSet>
      <sheetData sheetId="0"/>
      <sheetData sheetId="1"/>
      <sheetData sheetId="2">
        <row r="156">
          <cell r="D156">
            <v>768210652.20000005</v>
          </cell>
          <cell r="E156">
            <v>762961678.20000005</v>
          </cell>
          <cell r="F156">
            <v>289293700</v>
          </cell>
          <cell r="G156">
            <v>28739200</v>
          </cell>
          <cell r="H156">
            <v>248974</v>
          </cell>
          <cell r="I156">
            <v>264131103.85999998</v>
          </cell>
          <cell r="J156">
            <v>233942631.79999998</v>
          </cell>
          <cell r="K156">
            <v>184044322.20999998</v>
          </cell>
          <cell r="L156">
            <v>22736801</v>
          </cell>
          <cell r="M156">
            <v>380500</v>
          </cell>
          <cell r="N156">
            <v>0</v>
          </cell>
          <cell r="O156">
            <v>241394302.85999998</v>
          </cell>
          <cell r="P156">
            <v>1032341756.0600001</v>
          </cell>
        </row>
      </sheetData>
      <sheetData sheetId="3">
        <row r="73">
          <cell r="D73">
            <v>6307166.4700000007</v>
          </cell>
          <cell r="E73">
            <v>6307166.4700000007</v>
          </cell>
          <cell r="F73">
            <v>552039</v>
          </cell>
          <cell r="G73">
            <v>-728000</v>
          </cell>
          <cell r="H73">
            <v>0</v>
          </cell>
          <cell r="I73">
            <v>-1466684.9900000002</v>
          </cell>
          <cell r="J73">
            <v>2703801</v>
          </cell>
          <cell r="K73">
            <v>453801</v>
          </cell>
          <cell r="L73">
            <v>-4170485.99</v>
          </cell>
          <cell r="M73">
            <v>0</v>
          </cell>
          <cell r="N73">
            <v>0</v>
          </cell>
          <cell r="O73">
            <v>2703801</v>
          </cell>
          <cell r="P73">
            <v>4840481.4800000004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69"/>
  <sheetViews>
    <sheetView view="pageBreakPreview" zoomScale="75" zoomScaleNormal="75" zoomScaleSheetLayoutView="75" workbookViewId="0">
      <pane xSplit="4" ySplit="12" topLeftCell="E43" activePane="bottomRight" state="frozen"/>
      <selection pane="topRight" activeCell="E1" sqref="E1"/>
      <selection pane="bottomLeft" activeCell="A13" sqref="A13"/>
      <selection pane="bottomRight" activeCell="H48" sqref="H48"/>
    </sheetView>
  </sheetViews>
  <sheetFormatPr defaultRowHeight="15"/>
  <cols>
    <col min="1" max="1" width="18" style="6" customWidth="1"/>
    <col min="2" max="2" width="9.140625" style="6"/>
    <col min="3" max="3" width="18.42578125" style="6" customWidth="1"/>
    <col min="4" max="4" width="49.85546875" style="4" customWidth="1"/>
    <col min="5" max="5" width="16.140625" style="4" customWidth="1"/>
    <col min="6" max="6" width="15.85546875" style="4" customWidth="1"/>
    <col min="7" max="7" width="16.42578125" style="4" customWidth="1"/>
    <col min="8" max="8" width="14.7109375" style="4" customWidth="1"/>
    <col min="9" max="9" width="14.85546875" style="4" customWidth="1"/>
    <col min="10" max="10" width="16.7109375" style="4" customWidth="1"/>
    <col min="11" max="11" width="16" style="4" customWidth="1"/>
    <col min="12" max="12" width="15.85546875" style="55" bestFit="1" customWidth="1"/>
    <col min="13" max="13" width="14.140625" style="4" customWidth="1"/>
    <col min="14" max="14" width="12.42578125" style="4" customWidth="1"/>
    <col min="15" max="15" width="11.140625" style="4" customWidth="1"/>
    <col min="16" max="16" width="16.85546875" style="4" customWidth="1"/>
    <col min="17" max="17" width="18.28515625" style="4" customWidth="1"/>
    <col min="18" max="18" width="11" style="4" bestFit="1" customWidth="1"/>
    <col min="19" max="19" width="12" style="4" bestFit="1" customWidth="1"/>
    <col min="20" max="16384" width="9.140625" style="4"/>
  </cols>
  <sheetData>
    <row r="1" spans="1:20" ht="18.75">
      <c r="A1" s="46"/>
      <c r="B1" s="1"/>
      <c r="C1" s="1"/>
      <c r="D1" s="2"/>
      <c r="E1" s="3"/>
      <c r="F1" s="3"/>
      <c r="G1" s="3"/>
      <c r="H1" s="3"/>
      <c r="I1" s="3"/>
      <c r="J1" s="3"/>
      <c r="K1" s="3"/>
      <c r="L1" s="48"/>
      <c r="M1" s="3"/>
      <c r="N1" s="3"/>
      <c r="O1" s="5" t="s">
        <v>341</v>
      </c>
      <c r="Q1" s="3"/>
    </row>
    <row r="2" spans="1:20">
      <c r="A2" s="47"/>
      <c r="B2" s="1"/>
      <c r="C2" s="1"/>
      <c r="D2" s="2"/>
      <c r="E2" s="3"/>
      <c r="F2" s="3"/>
      <c r="G2" s="3"/>
      <c r="H2" s="3"/>
      <c r="I2" s="3"/>
      <c r="J2" s="3"/>
      <c r="K2" s="5"/>
      <c r="L2" s="48"/>
      <c r="M2" s="3"/>
      <c r="N2" s="3"/>
      <c r="O2" s="5" t="s">
        <v>326</v>
      </c>
      <c r="Q2" s="3"/>
    </row>
    <row r="3" spans="1:20">
      <c r="A3" s="47"/>
      <c r="B3" s="1"/>
      <c r="C3" s="1"/>
      <c r="D3" s="2"/>
      <c r="E3" s="3"/>
      <c r="F3" s="3"/>
      <c r="G3" s="3"/>
      <c r="H3" s="3"/>
      <c r="I3" s="3"/>
      <c r="J3" s="3"/>
      <c r="K3" s="5"/>
      <c r="L3" s="48"/>
      <c r="M3" s="3"/>
      <c r="N3" s="3"/>
      <c r="O3" s="5" t="s">
        <v>331</v>
      </c>
      <c r="Q3" s="3"/>
    </row>
    <row r="4" spans="1:20">
      <c r="A4" s="47"/>
      <c r="D4" s="2"/>
      <c r="E4" s="3"/>
      <c r="F4" s="3"/>
      <c r="G4" s="3"/>
      <c r="H4" s="3"/>
      <c r="I4" s="3"/>
      <c r="J4" s="3"/>
      <c r="K4" s="5"/>
      <c r="L4" s="48"/>
      <c r="M4" s="3"/>
      <c r="N4" s="3"/>
      <c r="O4" s="22" t="s">
        <v>355</v>
      </c>
      <c r="Q4" s="3"/>
    </row>
    <row r="5" spans="1:20">
      <c r="A5" s="47"/>
      <c r="D5" s="2"/>
      <c r="E5" s="3"/>
      <c r="F5" s="3"/>
      <c r="G5" s="3"/>
      <c r="H5" s="3"/>
      <c r="I5" s="3"/>
      <c r="J5" s="3"/>
      <c r="K5" s="5"/>
      <c r="L5" s="48"/>
      <c r="M5" s="3"/>
      <c r="N5" s="3"/>
      <c r="O5" s="3"/>
      <c r="P5" s="22"/>
      <c r="Q5" s="3"/>
    </row>
    <row r="6" spans="1:20" ht="20.25">
      <c r="A6" s="151" t="s">
        <v>356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</row>
    <row r="7" spans="1:20">
      <c r="D7" s="7"/>
      <c r="E7" s="7"/>
      <c r="F7" s="7"/>
      <c r="G7" s="7"/>
      <c r="H7" s="7"/>
      <c r="I7" s="7"/>
      <c r="J7" s="7"/>
      <c r="K7" s="7"/>
      <c r="L7" s="49"/>
      <c r="M7" s="7"/>
      <c r="N7" s="7"/>
      <c r="O7" s="7"/>
      <c r="P7" s="7"/>
    </row>
    <row r="8" spans="1:20" ht="15" customHeight="1">
      <c r="A8" s="152" t="s">
        <v>332</v>
      </c>
      <c r="B8" s="152" t="s">
        <v>333</v>
      </c>
      <c r="C8" s="155" t="s">
        <v>334</v>
      </c>
      <c r="D8" s="156" t="s">
        <v>335</v>
      </c>
      <c r="E8" s="157" t="s">
        <v>0</v>
      </c>
      <c r="F8" s="158"/>
      <c r="G8" s="158"/>
      <c r="H8" s="158"/>
      <c r="I8" s="159"/>
      <c r="J8" s="147" t="s">
        <v>4</v>
      </c>
      <c r="K8" s="147"/>
      <c r="L8" s="147"/>
      <c r="M8" s="147"/>
      <c r="N8" s="147"/>
      <c r="O8" s="147"/>
      <c r="P8" s="147"/>
      <c r="Q8" s="147" t="s">
        <v>6</v>
      </c>
    </row>
    <row r="9" spans="1:20" ht="15" customHeight="1">
      <c r="A9" s="153"/>
      <c r="B9" s="153"/>
      <c r="C9" s="155"/>
      <c r="D9" s="156"/>
      <c r="E9" s="147" t="s">
        <v>336</v>
      </c>
      <c r="F9" s="147" t="s">
        <v>329</v>
      </c>
      <c r="G9" s="147" t="s">
        <v>1</v>
      </c>
      <c r="H9" s="147"/>
      <c r="I9" s="148" t="s">
        <v>330</v>
      </c>
      <c r="J9" s="147" t="s">
        <v>336</v>
      </c>
      <c r="K9" s="147" t="s">
        <v>337</v>
      </c>
      <c r="L9" s="50"/>
      <c r="M9" s="147" t="s">
        <v>329</v>
      </c>
      <c r="N9" s="147" t="s">
        <v>1</v>
      </c>
      <c r="O9" s="147"/>
      <c r="P9" s="147" t="s">
        <v>338</v>
      </c>
      <c r="Q9" s="147"/>
    </row>
    <row r="10" spans="1:20" ht="15" customHeight="1">
      <c r="A10" s="153"/>
      <c r="B10" s="153"/>
      <c r="C10" s="155"/>
      <c r="D10" s="156"/>
      <c r="E10" s="147"/>
      <c r="F10" s="147"/>
      <c r="G10" s="147" t="s">
        <v>2</v>
      </c>
      <c r="H10" s="147" t="s">
        <v>3</v>
      </c>
      <c r="I10" s="149"/>
      <c r="J10" s="147"/>
      <c r="K10" s="147"/>
      <c r="L10" s="51" t="s">
        <v>1</v>
      </c>
      <c r="M10" s="147"/>
      <c r="N10" s="147" t="s">
        <v>2</v>
      </c>
      <c r="O10" s="147" t="s">
        <v>3</v>
      </c>
      <c r="P10" s="147"/>
      <c r="Q10" s="147"/>
    </row>
    <row r="11" spans="1:20" ht="83.25" customHeight="1">
      <c r="A11" s="154"/>
      <c r="B11" s="154"/>
      <c r="C11" s="155"/>
      <c r="D11" s="156"/>
      <c r="E11" s="147"/>
      <c r="F11" s="147"/>
      <c r="G11" s="147"/>
      <c r="H11" s="147"/>
      <c r="I11" s="150"/>
      <c r="J11" s="147"/>
      <c r="K11" s="147"/>
      <c r="L11" s="52" t="s">
        <v>5</v>
      </c>
      <c r="M11" s="147"/>
      <c r="N11" s="147"/>
      <c r="O11" s="147"/>
      <c r="P11" s="147"/>
      <c r="Q11" s="147"/>
    </row>
    <row r="12" spans="1:20">
      <c r="A12" s="9">
        <v>1</v>
      </c>
      <c r="B12" s="9">
        <v>2</v>
      </c>
      <c r="C12" s="9">
        <v>3</v>
      </c>
      <c r="D12" s="71">
        <v>4</v>
      </c>
      <c r="E12" s="71">
        <v>5</v>
      </c>
      <c r="F12" s="71">
        <v>6</v>
      </c>
      <c r="G12" s="71">
        <v>7</v>
      </c>
      <c r="H12" s="71">
        <v>8</v>
      </c>
      <c r="I12" s="71">
        <v>9</v>
      </c>
      <c r="J12" s="71">
        <v>10</v>
      </c>
      <c r="K12" s="71">
        <v>11</v>
      </c>
      <c r="L12" s="53"/>
      <c r="M12" s="71">
        <v>12</v>
      </c>
      <c r="N12" s="71">
        <v>13</v>
      </c>
      <c r="O12" s="71">
        <v>14</v>
      </c>
      <c r="P12" s="71">
        <v>15</v>
      </c>
      <c r="Q12" s="71" t="s">
        <v>339</v>
      </c>
    </row>
    <row r="13" spans="1:20" s="42" customFormat="1" ht="32.25">
      <c r="A13" s="17" t="s">
        <v>123</v>
      </c>
      <c r="B13" s="17"/>
      <c r="C13" s="17"/>
      <c r="D13" s="18" t="s">
        <v>18</v>
      </c>
      <c r="E13" s="72">
        <f>E14</f>
        <v>165757533</v>
      </c>
      <c r="F13" s="72">
        <f>F14</f>
        <v>165757533</v>
      </c>
      <c r="G13" s="72">
        <f t="shared" ref="G13:P13" si="0">G14</f>
        <v>30861100</v>
      </c>
      <c r="H13" s="72">
        <f t="shared" si="0"/>
        <v>2460100</v>
      </c>
      <c r="I13" s="72"/>
      <c r="J13" s="72">
        <f t="shared" si="0"/>
        <v>25681700</v>
      </c>
      <c r="K13" s="72">
        <f t="shared" si="0"/>
        <v>16192700</v>
      </c>
      <c r="L13" s="73">
        <f t="shared" si="0"/>
        <v>16192700</v>
      </c>
      <c r="M13" s="72">
        <f t="shared" si="0"/>
        <v>9489000</v>
      </c>
      <c r="N13" s="72"/>
      <c r="O13" s="72"/>
      <c r="P13" s="72">
        <f t="shared" si="0"/>
        <v>16192700</v>
      </c>
      <c r="Q13" s="74">
        <f t="shared" ref="Q13:Q26" si="1">E13+J13</f>
        <v>191439233</v>
      </c>
      <c r="R13" s="38"/>
      <c r="S13" s="38"/>
      <c r="T13" s="38"/>
    </row>
    <row r="14" spans="1:20" s="43" customFormat="1" ht="32.25">
      <c r="A14" s="17" t="s">
        <v>124</v>
      </c>
      <c r="B14" s="15"/>
      <c r="C14" s="15"/>
      <c r="D14" s="18" t="s">
        <v>18</v>
      </c>
      <c r="E14" s="74">
        <f>E15+E20+E21+E22+E26+E27+E28+E31+E32+E33+E37+E38+E39+E40+E43+E41+E29+E30+E42</f>
        <v>165757533</v>
      </c>
      <c r="F14" s="74">
        <f>F15+F20+F21+F22+F26+F27+F28+F31+F32+F33+F37+F38+F39+F40+F43+F41+F29+F30+F42</f>
        <v>165757533</v>
      </c>
      <c r="G14" s="74">
        <f>G15+G20+G21+G22+G26+G27+G28+G31+G32+G33+G37+G38+G39+G40+G43+G41+G29+G30+G42</f>
        <v>30861100</v>
      </c>
      <c r="H14" s="74">
        <f>H15+H20+H21+H22+H26+H27+H28+H31+H32+H33+H37+H38+H39+H40+H43+H41+H29+H30+H42</f>
        <v>2460100</v>
      </c>
      <c r="I14" s="74"/>
      <c r="J14" s="74">
        <f>M14+P14</f>
        <v>25681700</v>
      </c>
      <c r="K14" s="74">
        <f t="shared" ref="K14:P14" si="2">K15+K20+K21+K22+K26+K27+K28+K31+K32+K33+K37+K38+K39+K40+K43+K41</f>
        <v>16192700</v>
      </c>
      <c r="L14" s="75">
        <f t="shared" si="2"/>
        <v>16192700</v>
      </c>
      <c r="M14" s="74">
        <f t="shared" si="2"/>
        <v>9489000</v>
      </c>
      <c r="N14" s="74"/>
      <c r="O14" s="74"/>
      <c r="P14" s="74">
        <f t="shared" si="2"/>
        <v>16192700</v>
      </c>
      <c r="Q14" s="74">
        <f t="shared" si="1"/>
        <v>191439233</v>
      </c>
      <c r="R14" s="13"/>
      <c r="S14" s="13"/>
      <c r="T14" s="13"/>
    </row>
    <row r="15" spans="1:20" s="13" customFormat="1" ht="79.5">
      <c r="A15" s="15" t="s">
        <v>125</v>
      </c>
      <c r="B15" s="15" t="s">
        <v>103</v>
      </c>
      <c r="C15" s="15" t="s">
        <v>21</v>
      </c>
      <c r="D15" s="14" t="s">
        <v>104</v>
      </c>
      <c r="E15" s="76">
        <f t="shared" ref="E15:E31" si="3">F15+I15</f>
        <v>37351400</v>
      </c>
      <c r="F15" s="76">
        <f>F16+F17+F18+F19</f>
        <v>37351400</v>
      </c>
      <c r="G15" s="76">
        <f>G16+G17+G18+G19</f>
        <v>30861100</v>
      </c>
      <c r="H15" s="76">
        <f>H16+H17+H18+H19</f>
        <v>2460100</v>
      </c>
      <c r="I15" s="76"/>
      <c r="J15" s="76">
        <f>M15+P15</f>
        <v>1728500</v>
      </c>
      <c r="K15" s="76">
        <f>K16+K17+K18+K19</f>
        <v>1565500</v>
      </c>
      <c r="L15" s="76">
        <f>L16+L17+L18+L19</f>
        <v>1565500</v>
      </c>
      <c r="M15" s="76">
        <f>M16+M17+M18+M19</f>
        <v>163000</v>
      </c>
      <c r="N15" s="76"/>
      <c r="O15" s="76"/>
      <c r="P15" s="76">
        <f>P16+P17+P18+P19</f>
        <v>1565500</v>
      </c>
      <c r="Q15" s="76">
        <f t="shared" si="1"/>
        <v>39079900</v>
      </c>
    </row>
    <row r="16" spans="1:20" s="25" customFormat="1" ht="37.5" customHeight="1">
      <c r="A16" s="23"/>
      <c r="B16" s="23"/>
      <c r="C16" s="23"/>
      <c r="D16" s="77" t="s">
        <v>18</v>
      </c>
      <c r="E16" s="78">
        <f t="shared" si="3"/>
        <v>33022100</v>
      </c>
      <c r="F16" s="78">
        <f>31134000+1709000+8100+376000-5000-200000</f>
        <v>33022100</v>
      </c>
      <c r="G16" s="78">
        <f>25024000+1709000+8100+376000</f>
        <v>27117100</v>
      </c>
      <c r="H16" s="78">
        <v>2255400</v>
      </c>
      <c r="I16" s="78"/>
      <c r="J16" s="78">
        <f>M16+P16</f>
        <v>1710500</v>
      </c>
      <c r="K16" s="78">
        <f>1587500-22000</f>
        <v>1565500</v>
      </c>
      <c r="L16" s="78">
        <f>1587500-22000</f>
        <v>1565500</v>
      </c>
      <c r="M16" s="78">
        <f>121000+24000</f>
        <v>145000</v>
      </c>
      <c r="N16" s="78"/>
      <c r="O16" s="78"/>
      <c r="P16" s="78">
        <f>1587500-22000</f>
        <v>1565500</v>
      </c>
      <c r="Q16" s="78">
        <f t="shared" si="1"/>
        <v>34732600</v>
      </c>
      <c r="R16" s="79"/>
    </row>
    <row r="17" spans="1:20" s="25" customFormat="1" ht="39.75" customHeight="1">
      <c r="A17" s="23"/>
      <c r="B17" s="23"/>
      <c r="C17" s="23"/>
      <c r="D17" s="36" t="s">
        <v>226</v>
      </c>
      <c r="E17" s="78">
        <f t="shared" si="3"/>
        <v>1690100</v>
      </c>
      <c r="F17" s="78">
        <f>1662100+88000+20000-80000</f>
        <v>1690100</v>
      </c>
      <c r="G17" s="78">
        <f>1296100+88000+20000</f>
        <v>1404100</v>
      </c>
      <c r="H17" s="78">
        <v>106100</v>
      </c>
      <c r="I17" s="78"/>
      <c r="J17" s="78">
        <f>M17+P17</f>
        <v>18000</v>
      </c>
      <c r="K17" s="78"/>
      <c r="L17" s="78"/>
      <c r="M17" s="78">
        <v>18000</v>
      </c>
      <c r="N17" s="78"/>
      <c r="O17" s="78"/>
      <c r="P17" s="78"/>
      <c r="Q17" s="78">
        <f t="shared" si="1"/>
        <v>1708100</v>
      </c>
      <c r="R17" s="79"/>
    </row>
    <row r="18" spans="1:20" s="25" customFormat="1" ht="35.25" customHeight="1">
      <c r="A18" s="23"/>
      <c r="B18" s="23"/>
      <c r="C18" s="23"/>
      <c r="D18" s="56" t="s">
        <v>12</v>
      </c>
      <c r="E18" s="78">
        <f t="shared" si="3"/>
        <v>1202600</v>
      </c>
      <c r="F18" s="78">
        <f>1139600+68000+15000-20000</f>
        <v>1202600</v>
      </c>
      <c r="G18" s="78">
        <f>997500+68000+15000</f>
        <v>1080500</v>
      </c>
      <c r="H18" s="78">
        <v>34800</v>
      </c>
      <c r="I18" s="78"/>
      <c r="J18" s="78"/>
      <c r="K18" s="78"/>
      <c r="L18" s="78"/>
      <c r="M18" s="78"/>
      <c r="N18" s="78"/>
      <c r="O18" s="78"/>
      <c r="P18" s="78"/>
      <c r="Q18" s="78">
        <f t="shared" si="1"/>
        <v>1202600</v>
      </c>
      <c r="R18" s="79"/>
    </row>
    <row r="19" spans="1:20" s="25" customFormat="1" ht="42" customHeight="1">
      <c r="A19" s="23"/>
      <c r="B19" s="23"/>
      <c r="C19" s="23"/>
      <c r="D19" s="56" t="s">
        <v>14</v>
      </c>
      <c r="E19" s="78">
        <f t="shared" si="3"/>
        <v>1436600</v>
      </c>
      <c r="F19" s="78">
        <f>1389700+78700+18200-50000</f>
        <v>1436600</v>
      </c>
      <c r="G19" s="78">
        <f>1162500+78700+18200</f>
        <v>1259400</v>
      </c>
      <c r="H19" s="78">
        <v>63800</v>
      </c>
      <c r="I19" s="78"/>
      <c r="J19" s="78"/>
      <c r="K19" s="78"/>
      <c r="L19" s="78"/>
      <c r="M19" s="78"/>
      <c r="N19" s="78"/>
      <c r="O19" s="78"/>
      <c r="P19" s="78"/>
      <c r="Q19" s="78">
        <f t="shared" si="1"/>
        <v>1436600</v>
      </c>
      <c r="R19" s="79"/>
    </row>
    <row r="20" spans="1:20" s="20" customFormat="1" ht="49.5" customHeight="1">
      <c r="A20" s="15" t="s">
        <v>212</v>
      </c>
      <c r="B20" s="15" t="s">
        <v>213</v>
      </c>
      <c r="C20" s="15" t="s">
        <v>214</v>
      </c>
      <c r="D20" s="14" t="s">
        <v>215</v>
      </c>
      <c r="E20" s="76">
        <f t="shared" si="3"/>
        <v>20000</v>
      </c>
      <c r="F20" s="76">
        <v>20000</v>
      </c>
      <c r="G20" s="76"/>
      <c r="H20" s="76"/>
      <c r="I20" s="76"/>
      <c r="J20" s="76"/>
      <c r="K20" s="76"/>
      <c r="L20" s="80"/>
      <c r="M20" s="76"/>
      <c r="N20" s="76"/>
      <c r="O20" s="76"/>
      <c r="P20" s="76"/>
      <c r="Q20" s="76">
        <f t="shared" si="1"/>
        <v>20000</v>
      </c>
      <c r="R20" s="33"/>
    </row>
    <row r="21" spans="1:20" s="20" customFormat="1" ht="31.5" customHeight="1">
      <c r="A21" s="15" t="s">
        <v>222</v>
      </c>
      <c r="B21" s="15" t="s">
        <v>29</v>
      </c>
      <c r="C21" s="15" t="s">
        <v>25</v>
      </c>
      <c r="D21" s="16" t="s">
        <v>223</v>
      </c>
      <c r="E21" s="76">
        <f t="shared" si="3"/>
        <v>2625500</v>
      </c>
      <c r="F21" s="76">
        <v>2625500</v>
      </c>
      <c r="G21" s="76"/>
      <c r="H21" s="76"/>
      <c r="I21" s="76"/>
      <c r="J21" s="76"/>
      <c r="K21" s="76"/>
      <c r="L21" s="80"/>
      <c r="M21" s="76"/>
      <c r="N21" s="76"/>
      <c r="O21" s="76"/>
      <c r="P21" s="76"/>
      <c r="Q21" s="76">
        <f t="shared" si="1"/>
        <v>2625500</v>
      </c>
      <c r="R21" s="33"/>
    </row>
    <row r="22" spans="1:20" s="20" customFormat="1" ht="33.75" customHeight="1">
      <c r="A22" s="15" t="s">
        <v>126</v>
      </c>
      <c r="B22" s="15" t="s">
        <v>57</v>
      </c>
      <c r="C22" s="15" t="s">
        <v>58</v>
      </c>
      <c r="D22" s="11" t="s">
        <v>315</v>
      </c>
      <c r="E22" s="76">
        <f t="shared" si="3"/>
        <v>101626033</v>
      </c>
      <c r="F22" s="76">
        <f>95964039+5422100-150000+389894</f>
        <v>101626033</v>
      </c>
      <c r="G22" s="76"/>
      <c r="H22" s="76"/>
      <c r="I22" s="76"/>
      <c r="J22" s="76">
        <f>M22+P22</f>
        <v>18631700</v>
      </c>
      <c r="K22" s="76">
        <f>13237200+500000</f>
        <v>13737200</v>
      </c>
      <c r="L22" s="80">
        <f>13237200+500000</f>
        <v>13737200</v>
      </c>
      <c r="M22" s="76">
        <v>4894500</v>
      </c>
      <c r="N22" s="76"/>
      <c r="O22" s="76"/>
      <c r="P22" s="76">
        <f>13237200+500000</f>
        <v>13737200</v>
      </c>
      <c r="Q22" s="76">
        <f t="shared" si="1"/>
        <v>120257733</v>
      </c>
      <c r="R22" s="33"/>
    </row>
    <row r="23" spans="1:20" s="25" customFormat="1" ht="20.25" customHeight="1">
      <c r="A23" s="23"/>
      <c r="B23" s="23"/>
      <c r="C23" s="23"/>
      <c r="D23" s="24" t="s">
        <v>357</v>
      </c>
      <c r="E23" s="78">
        <f t="shared" si="3"/>
        <v>53094900</v>
      </c>
      <c r="F23" s="78">
        <v>53094900</v>
      </c>
      <c r="G23" s="78"/>
      <c r="H23" s="78"/>
      <c r="I23" s="78"/>
      <c r="J23" s="78"/>
      <c r="K23" s="78"/>
      <c r="L23" s="81"/>
      <c r="M23" s="78"/>
      <c r="N23" s="78"/>
      <c r="O23" s="78"/>
      <c r="P23" s="78"/>
      <c r="Q23" s="76">
        <f t="shared" si="1"/>
        <v>53094900</v>
      </c>
    </row>
    <row r="24" spans="1:20" s="20" customFormat="1" ht="94.5">
      <c r="A24" s="15"/>
      <c r="B24" s="15"/>
      <c r="C24" s="15"/>
      <c r="D24" s="82" t="s">
        <v>358</v>
      </c>
      <c r="E24" s="78">
        <f t="shared" si="3"/>
        <v>389894</v>
      </c>
      <c r="F24" s="78">
        <v>389894</v>
      </c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>
        <f>E24+J24</f>
        <v>389894</v>
      </c>
    </row>
    <row r="25" spans="1:20" s="44" customFormat="1" ht="78.75">
      <c r="A25" s="15"/>
      <c r="B25" s="15"/>
      <c r="C25" s="15"/>
      <c r="D25" s="82" t="s">
        <v>359</v>
      </c>
      <c r="E25" s="78">
        <f t="shared" si="3"/>
        <v>3243839</v>
      </c>
      <c r="F25" s="78">
        <v>3243839</v>
      </c>
      <c r="G25" s="78"/>
      <c r="H25" s="78"/>
      <c r="I25" s="78"/>
      <c r="J25" s="78"/>
      <c r="K25" s="78"/>
      <c r="L25" s="81"/>
      <c r="M25" s="78"/>
      <c r="N25" s="78"/>
      <c r="O25" s="78"/>
      <c r="P25" s="78"/>
      <c r="Q25" s="78">
        <f>E25+J25</f>
        <v>3243839</v>
      </c>
      <c r="R25" s="20"/>
      <c r="S25" s="20"/>
      <c r="T25" s="20"/>
    </row>
    <row r="26" spans="1:20" s="20" customFormat="1" ht="18.75">
      <c r="A26" s="15" t="s">
        <v>127</v>
      </c>
      <c r="B26" s="15" t="s">
        <v>105</v>
      </c>
      <c r="C26" s="15" t="s">
        <v>59</v>
      </c>
      <c r="D26" s="11" t="s">
        <v>106</v>
      </c>
      <c r="E26" s="76">
        <f t="shared" si="3"/>
        <v>10938200</v>
      </c>
      <c r="F26" s="76">
        <v>10938200</v>
      </c>
      <c r="G26" s="76"/>
      <c r="H26" s="76"/>
      <c r="I26" s="76"/>
      <c r="J26" s="76">
        <f>M26+P26</f>
        <v>4078500</v>
      </c>
      <c r="K26" s="76">
        <v>550000</v>
      </c>
      <c r="L26" s="80">
        <v>550000</v>
      </c>
      <c r="M26" s="76">
        <v>3528500</v>
      </c>
      <c r="N26" s="76"/>
      <c r="O26" s="76"/>
      <c r="P26" s="76">
        <v>550000</v>
      </c>
      <c r="Q26" s="76">
        <f t="shared" si="1"/>
        <v>15016700</v>
      </c>
      <c r="R26" s="33"/>
    </row>
    <row r="27" spans="1:20" s="44" customFormat="1" ht="32.25">
      <c r="A27" s="15" t="s">
        <v>256</v>
      </c>
      <c r="B27" s="15" t="s">
        <v>251</v>
      </c>
      <c r="C27" s="15" t="s">
        <v>252</v>
      </c>
      <c r="D27" s="11" t="s">
        <v>253</v>
      </c>
      <c r="E27" s="76">
        <f t="shared" si="3"/>
        <v>1570400</v>
      </c>
      <c r="F27" s="76">
        <v>1570400</v>
      </c>
      <c r="G27" s="76"/>
      <c r="H27" s="76"/>
      <c r="I27" s="76"/>
      <c r="J27" s="76"/>
      <c r="K27" s="76"/>
      <c r="L27" s="80"/>
      <c r="M27" s="76"/>
      <c r="N27" s="76"/>
      <c r="O27" s="76"/>
      <c r="P27" s="76"/>
      <c r="Q27" s="76">
        <f>E27+J27</f>
        <v>1570400</v>
      </c>
      <c r="R27" s="33"/>
      <c r="S27" s="20"/>
      <c r="T27" s="20"/>
    </row>
    <row r="28" spans="1:20" s="44" customFormat="1" ht="32.25">
      <c r="A28" s="15" t="s">
        <v>257</v>
      </c>
      <c r="B28" s="15" t="s">
        <v>254</v>
      </c>
      <c r="C28" s="15" t="s">
        <v>252</v>
      </c>
      <c r="D28" s="11" t="s">
        <v>255</v>
      </c>
      <c r="E28" s="76">
        <f t="shared" si="3"/>
        <v>364200</v>
      </c>
      <c r="F28" s="76">
        <v>364200</v>
      </c>
      <c r="G28" s="76"/>
      <c r="H28" s="76"/>
      <c r="I28" s="76"/>
      <c r="J28" s="76"/>
      <c r="K28" s="76"/>
      <c r="L28" s="80"/>
      <c r="M28" s="76"/>
      <c r="N28" s="76"/>
      <c r="O28" s="76"/>
      <c r="P28" s="76"/>
      <c r="Q28" s="76">
        <f>E28+J28</f>
        <v>364200</v>
      </c>
      <c r="R28" s="33"/>
      <c r="S28" s="20"/>
      <c r="T28" s="20"/>
    </row>
    <row r="29" spans="1:20" s="12" customFormat="1" ht="32.25">
      <c r="A29" s="15" t="s">
        <v>360</v>
      </c>
      <c r="B29" s="15" t="s">
        <v>81</v>
      </c>
      <c r="C29" s="15" t="s">
        <v>42</v>
      </c>
      <c r="D29" s="11" t="s">
        <v>91</v>
      </c>
      <c r="E29" s="76">
        <f t="shared" si="3"/>
        <v>33100</v>
      </c>
      <c r="F29" s="76">
        <v>33100</v>
      </c>
      <c r="G29" s="76"/>
      <c r="H29" s="76"/>
      <c r="I29" s="76"/>
      <c r="J29" s="76"/>
      <c r="K29" s="76"/>
      <c r="L29" s="80"/>
      <c r="M29" s="76"/>
      <c r="N29" s="76"/>
      <c r="O29" s="76"/>
      <c r="P29" s="76"/>
      <c r="Q29" s="76">
        <f t="shared" ref="Q29:Q91" si="4">E29+J29</f>
        <v>33100</v>
      </c>
    </row>
    <row r="30" spans="1:20" ht="79.5">
      <c r="A30" s="15" t="s">
        <v>361</v>
      </c>
      <c r="B30" s="15" t="s">
        <v>49</v>
      </c>
      <c r="C30" s="15" t="s">
        <v>42</v>
      </c>
      <c r="D30" s="10" t="s">
        <v>43</v>
      </c>
      <c r="E30" s="76">
        <f t="shared" si="3"/>
        <v>170000</v>
      </c>
      <c r="F30" s="76">
        <v>170000</v>
      </c>
      <c r="G30" s="76"/>
      <c r="H30" s="76"/>
      <c r="I30" s="76"/>
      <c r="J30" s="76"/>
      <c r="K30" s="76"/>
      <c r="L30" s="80"/>
      <c r="M30" s="76"/>
      <c r="N30" s="76"/>
      <c r="O30" s="76"/>
      <c r="P30" s="76"/>
      <c r="Q30" s="76">
        <f t="shared" si="4"/>
        <v>170000</v>
      </c>
    </row>
    <row r="31" spans="1:20" s="20" customFormat="1" ht="32.25" customHeight="1">
      <c r="A31" s="15" t="s">
        <v>295</v>
      </c>
      <c r="B31" s="15" t="s">
        <v>293</v>
      </c>
      <c r="C31" s="15" t="s">
        <v>22</v>
      </c>
      <c r="D31" s="14" t="s">
        <v>294</v>
      </c>
      <c r="E31" s="76">
        <f t="shared" si="3"/>
        <v>2954400</v>
      </c>
      <c r="F31" s="76">
        <v>2954400</v>
      </c>
      <c r="G31" s="76"/>
      <c r="H31" s="76"/>
      <c r="I31" s="76"/>
      <c r="J31" s="76"/>
      <c r="K31" s="76"/>
      <c r="L31" s="80"/>
      <c r="M31" s="76"/>
      <c r="N31" s="76"/>
      <c r="O31" s="76"/>
      <c r="P31" s="76"/>
      <c r="Q31" s="76">
        <f t="shared" si="4"/>
        <v>2954400</v>
      </c>
    </row>
    <row r="32" spans="1:20" s="44" customFormat="1" ht="26.25" hidden="1" customHeight="1">
      <c r="A32" s="15" t="s">
        <v>313</v>
      </c>
      <c r="B32" s="15" t="s">
        <v>238</v>
      </c>
      <c r="C32" s="15" t="s">
        <v>240</v>
      </c>
      <c r="D32" s="14" t="s">
        <v>241</v>
      </c>
      <c r="E32" s="76"/>
      <c r="F32" s="76"/>
      <c r="G32" s="76"/>
      <c r="H32" s="76"/>
      <c r="I32" s="76"/>
      <c r="J32" s="76">
        <f>M32+P32</f>
        <v>0</v>
      </c>
      <c r="K32" s="76"/>
      <c r="L32" s="80"/>
      <c r="M32" s="76"/>
      <c r="N32" s="76"/>
      <c r="O32" s="76"/>
      <c r="P32" s="76"/>
      <c r="Q32" s="76">
        <f t="shared" si="4"/>
        <v>0</v>
      </c>
      <c r="R32" s="20"/>
      <c r="S32" s="20"/>
      <c r="T32" s="20"/>
    </row>
    <row r="33" spans="1:20" s="20" customFormat="1" ht="32.25" customHeight="1">
      <c r="A33" s="15" t="s">
        <v>128</v>
      </c>
      <c r="B33" s="15" t="s">
        <v>87</v>
      </c>
      <c r="C33" s="15" t="s">
        <v>28</v>
      </c>
      <c r="D33" s="14" t="s">
        <v>107</v>
      </c>
      <c r="E33" s="76">
        <f>F33+I33</f>
        <v>4457700</v>
      </c>
      <c r="F33" s="76">
        <f>F34+F35+F36</f>
        <v>4457700</v>
      </c>
      <c r="G33" s="76"/>
      <c r="H33" s="76"/>
      <c r="I33" s="76"/>
      <c r="J33" s="76">
        <f>M33+P33</f>
        <v>140000</v>
      </c>
      <c r="K33" s="76">
        <f>K34+K35+K36</f>
        <v>140000</v>
      </c>
      <c r="L33" s="76">
        <f>L34+L35+L36</f>
        <v>140000</v>
      </c>
      <c r="M33" s="76"/>
      <c r="N33" s="76"/>
      <c r="O33" s="76"/>
      <c r="P33" s="76">
        <f>P34+P35+P36</f>
        <v>140000</v>
      </c>
      <c r="Q33" s="76">
        <f t="shared" si="4"/>
        <v>4597700</v>
      </c>
    </row>
    <row r="34" spans="1:20" s="25" customFormat="1" ht="32.25" customHeight="1">
      <c r="A34" s="23"/>
      <c r="B34" s="23"/>
      <c r="C34" s="23"/>
      <c r="D34" s="56" t="s">
        <v>226</v>
      </c>
      <c r="E34" s="76">
        <f>F34+I34</f>
        <v>1937000</v>
      </c>
      <c r="F34" s="78">
        <v>1937000</v>
      </c>
      <c r="G34" s="78"/>
      <c r="H34" s="78"/>
      <c r="I34" s="78"/>
      <c r="J34" s="76">
        <f>M34+P34</f>
        <v>140000</v>
      </c>
      <c r="K34" s="78">
        <v>140000</v>
      </c>
      <c r="L34" s="78">
        <v>140000</v>
      </c>
      <c r="M34" s="78"/>
      <c r="N34" s="78"/>
      <c r="O34" s="78"/>
      <c r="P34" s="78">
        <v>140000</v>
      </c>
      <c r="Q34" s="76">
        <f t="shared" si="4"/>
        <v>2077000</v>
      </c>
    </row>
    <row r="35" spans="1:20" s="25" customFormat="1" ht="32.25" customHeight="1">
      <c r="A35" s="23"/>
      <c r="B35" s="23"/>
      <c r="C35" s="23"/>
      <c r="D35" s="56" t="s">
        <v>12</v>
      </c>
      <c r="E35" s="76">
        <f>F35+I35</f>
        <v>504700</v>
      </c>
      <c r="F35" s="78">
        <v>504700</v>
      </c>
      <c r="G35" s="78"/>
      <c r="H35" s="78"/>
      <c r="I35" s="78"/>
      <c r="J35" s="76"/>
      <c r="K35" s="78"/>
      <c r="L35" s="78"/>
      <c r="M35" s="78"/>
      <c r="N35" s="78"/>
      <c r="O35" s="78"/>
      <c r="P35" s="78"/>
      <c r="Q35" s="76">
        <f t="shared" si="4"/>
        <v>504700</v>
      </c>
    </row>
    <row r="36" spans="1:20" s="25" customFormat="1" ht="32.25" customHeight="1">
      <c r="A36" s="23"/>
      <c r="B36" s="23"/>
      <c r="C36" s="23"/>
      <c r="D36" s="56" t="s">
        <v>14</v>
      </c>
      <c r="E36" s="76">
        <f>F36+I36</f>
        <v>2016000</v>
      </c>
      <c r="F36" s="78">
        <v>2016000</v>
      </c>
      <c r="G36" s="78"/>
      <c r="H36" s="78"/>
      <c r="I36" s="78"/>
      <c r="J36" s="76"/>
      <c r="K36" s="78"/>
      <c r="L36" s="78"/>
      <c r="M36" s="78"/>
      <c r="N36" s="78"/>
      <c r="O36" s="78"/>
      <c r="P36" s="78"/>
      <c r="Q36" s="76">
        <f t="shared" si="4"/>
        <v>2016000</v>
      </c>
    </row>
    <row r="37" spans="1:20" s="44" customFormat="1" ht="32.25">
      <c r="A37" s="15" t="s">
        <v>220</v>
      </c>
      <c r="B37" s="15" t="s">
        <v>219</v>
      </c>
      <c r="C37" s="15" t="s">
        <v>23</v>
      </c>
      <c r="D37" s="14" t="s">
        <v>221</v>
      </c>
      <c r="E37" s="76">
        <f t="shared" ref="E37:E42" si="5">F37+I37</f>
        <v>300000</v>
      </c>
      <c r="F37" s="76">
        <f>300000+500000-500000</f>
        <v>300000</v>
      </c>
      <c r="G37" s="76"/>
      <c r="H37" s="76"/>
      <c r="I37" s="76"/>
      <c r="J37" s="76"/>
      <c r="K37" s="76"/>
      <c r="L37" s="80"/>
      <c r="M37" s="76"/>
      <c r="N37" s="76"/>
      <c r="O37" s="76"/>
      <c r="P37" s="76"/>
      <c r="Q37" s="76">
        <f t="shared" si="4"/>
        <v>300000</v>
      </c>
      <c r="R37" s="20"/>
      <c r="S37" s="20"/>
      <c r="T37" s="20"/>
    </row>
    <row r="38" spans="1:20" s="44" customFormat="1" ht="18.75">
      <c r="A38" s="15" t="s">
        <v>172</v>
      </c>
      <c r="B38" s="15" t="s">
        <v>171</v>
      </c>
      <c r="C38" s="15" t="s">
        <v>26</v>
      </c>
      <c r="D38" s="11" t="s">
        <v>27</v>
      </c>
      <c r="E38" s="76">
        <f t="shared" si="5"/>
        <v>600000</v>
      </c>
      <c r="F38" s="76">
        <f>300000+300000</f>
        <v>600000</v>
      </c>
      <c r="G38" s="76"/>
      <c r="H38" s="76"/>
      <c r="I38" s="76"/>
      <c r="J38" s="76"/>
      <c r="K38" s="76"/>
      <c r="L38" s="80"/>
      <c r="M38" s="76"/>
      <c r="N38" s="76"/>
      <c r="O38" s="76"/>
      <c r="P38" s="76"/>
      <c r="Q38" s="76">
        <f t="shared" si="4"/>
        <v>600000</v>
      </c>
      <c r="R38" s="20"/>
      <c r="S38" s="20"/>
      <c r="T38" s="20"/>
    </row>
    <row r="39" spans="1:20" s="44" customFormat="1" ht="32.25">
      <c r="A39" s="15" t="s">
        <v>217</v>
      </c>
      <c r="B39" s="15" t="s">
        <v>216</v>
      </c>
      <c r="C39" s="15" t="s">
        <v>46</v>
      </c>
      <c r="D39" s="11" t="s">
        <v>218</v>
      </c>
      <c r="E39" s="76">
        <f t="shared" si="5"/>
        <v>36200</v>
      </c>
      <c r="F39" s="76">
        <v>36200</v>
      </c>
      <c r="G39" s="76"/>
      <c r="H39" s="76"/>
      <c r="I39" s="76"/>
      <c r="J39" s="76"/>
      <c r="K39" s="76"/>
      <c r="L39" s="80"/>
      <c r="M39" s="76"/>
      <c r="N39" s="76"/>
      <c r="O39" s="76"/>
      <c r="P39" s="76"/>
      <c r="Q39" s="76">
        <f t="shared" si="4"/>
        <v>36200</v>
      </c>
      <c r="R39" s="20"/>
      <c r="S39" s="20"/>
      <c r="T39" s="20"/>
    </row>
    <row r="40" spans="1:20" s="44" customFormat="1" ht="37.5" customHeight="1">
      <c r="A40" s="15" t="s">
        <v>272</v>
      </c>
      <c r="B40" s="15" t="s">
        <v>271</v>
      </c>
      <c r="C40" s="15" t="s">
        <v>46</v>
      </c>
      <c r="D40" s="14" t="s">
        <v>273</v>
      </c>
      <c r="E40" s="76">
        <f t="shared" si="5"/>
        <v>2300000</v>
      </c>
      <c r="F40" s="76">
        <f>4600000-2300000</f>
        <v>2300000</v>
      </c>
      <c r="G40" s="76"/>
      <c r="H40" s="76"/>
      <c r="I40" s="76"/>
      <c r="J40" s="76">
        <f>M40+P40</f>
        <v>200000</v>
      </c>
      <c r="K40" s="76">
        <v>200000</v>
      </c>
      <c r="L40" s="80">
        <v>200000</v>
      </c>
      <c r="M40" s="76"/>
      <c r="N40" s="76"/>
      <c r="O40" s="76"/>
      <c r="P40" s="76">
        <v>200000</v>
      </c>
      <c r="Q40" s="76">
        <f t="shared" si="4"/>
        <v>2500000</v>
      </c>
      <c r="R40" s="20"/>
      <c r="S40" s="20"/>
      <c r="T40" s="20"/>
    </row>
    <row r="41" spans="1:20" s="44" customFormat="1" ht="57" customHeight="1">
      <c r="A41" s="15" t="s">
        <v>170</v>
      </c>
      <c r="B41" s="15" t="s">
        <v>169</v>
      </c>
      <c r="C41" s="15" t="s">
        <v>24</v>
      </c>
      <c r="D41" s="11" t="s">
        <v>274</v>
      </c>
      <c r="E41" s="76">
        <f t="shared" si="5"/>
        <v>254300</v>
      </c>
      <c r="F41" s="76">
        <v>254300</v>
      </c>
      <c r="G41" s="76"/>
      <c r="H41" s="76"/>
      <c r="I41" s="76"/>
      <c r="J41" s="76"/>
      <c r="K41" s="76"/>
      <c r="L41" s="80"/>
      <c r="M41" s="76"/>
      <c r="N41" s="76"/>
      <c r="O41" s="76"/>
      <c r="P41" s="76"/>
      <c r="Q41" s="76">
        <f t="shared" si="4"/>
        <v>254300</v>
      </c>
      <c r="R41" s="20"/>
      <c r="S41" s="20"/>
      <c r="T41" s="20"/>
    </row>
    <row r="42" spans="1:20" s="44" customFormat="1" ht="32.25">
      <c r="A42" s="15" t="s">
        <v>362</v>
      </c>
      <c r="B42" s="15" t="s">
        <v>363</v>
      </c>
      <c r="C42" s="15" t="s">
        <v>364</v>
      </c>
      <c r="D42" s="11" t="s">
        <v>365</v>
      </c>
      <c r="E42" s="76">
        <f t="shared" si="5"/>
        <v>156100</v>
      </c>
      <c r="F42" s="76">
        <v>156100</v>
      </c>
      <c r="G42" s="76"/>
      <c r="H42" s="76"/>
      <c r="I42" s="76"/>
      <c r="J42" s="76"/>
      <c r="K42" s="76"/>
      <c r="L42" s="80"/>
      <c r="M42" s="76"/>
      <c r="N42" s="76"/>
      <c r="O42" s="76"/>
      <c r="P42" s="76"/>
      <c r="Q42" s="76">
        <f t="shared" si="4"/>
        <v>156100</v>
      </c>
      <c r="R42" s="20"/>
      <c r="S42" s="20"/>
      <c r="T42" s="20"/>
    </row>
    <row r="43" spans="1:20" s="44" customFormat="1" ht="32.25">
      <c r="A43" s="15" t="s">
        <v>250</v>
      </c>
      <c r="B43" s="15" t="s">
        <v>249</v>
      </c>
      <c r="C43" s="15" t="s">
        <v>89</v>
      </c>
      <c r="D43" s="14" t="s">
        <v>270</v>
      </c>
      <c r="E43" s="76"/>
      <c r="F43" s="76"/>
      <c r="G43" s="76"/>
      <c r="H43" s="76"/>
      <c r="I43" s="76"/>
      <c r="J43" s="76">
        <f>M43+P43</f>
        <v>903000</v>
      </c>
      <c r="K43" s="76"/>
      <c r="L43" s="80"/>
      <c r="M43" s="76">
        <v>903000</v>
      </c>
      <c r="N43" s="76"/>
      <c r="O43" s="76"/>
      <c r="P43" s="76"/>
      <c r="Q43" s="76">
        <f t="shared" si="4"/>
        <v>903000</v>
      </c>
      <c r="R43" s="20"/>
      <c r="S43" s="20"/>
      <c r="T43" s="20"/>
    </row>
    <row r="44" spans="1:20" s="45" customFormat="1" ht="32.25">
      <c r="A44" s="17" t="s">
        <v>108</v>
      </c>
      <c r="B44" s="17"/>
      <c r="C44" s="17"/>
      <c r="D44" s="18" t="s">
        <v>9</v>
      </c>
      <c r="E44" s="74">
        <f>E45</f>
        <v>266949900</v>
      </c>
      <c r="F44" s="74">
        <f>F45</f>
        <v>266949900</v>
      </c>
      <c r="G44" s="74">
        <f t="shared" ref="G44:P44" si="6">G45</f>
        <v>207218600</v>
      </c>
      <c r="H44" s="74">
        <f t="shared" si="6"/>
        <v>24546900</v>
      </c>
      <c r="I44" s="74"/>
      <c r="J44" s="74">
        <f t="shared" si="6"/>
        <v>37583301</v>
      </c>
      <c r="K44" s="74">
        <f t="shared" si="6"/>
        <v>26091600</v>
      </c>
      <c r="L44" s="75">
        <f t="shared" si="6"/>
        <v>26091600</v>
      </c>
      <c r="M44" s="74">
        <f t="shared" si="6"/>
        <v>11461701</v>
      </c>
      <c r="N44" s="74">
        <f t="shared" si="6"/>
        <v>122000</v>
      </c>
      <c r="O44" s="74"/>
      <c r="P44" s="74">
        <f t="shared" si="6"/>
        <v>26121600</v>
      </c>
      <c r="Q44" s="74">
        <f t="shared" si="4"/>
        <v>304533201</v>
      </c>
      <c r="R44" s="21"/>
      <c r="S44" s="21"/>
      <c r="T44" s="21"/>
    </row>
    <row r="45" spans="1:20" s="44" customFormat="1" ht="32.25">
      <c r="A45" s="17" t="s">
        <v>109</v>
      </c>
      <c r="B45" s="15"/>
      <c r="C45" s="15"/>
      <c r="D45" s="18" t="s">
        <v>9</v>
      </c>
      <c r="E45" s="74">
        <f>E46+E47+E48+E52+E54+E57+E58+E59+E60+E61+E62+E63+E64+E65</f>
        <v>266949900</v>
      </c>
      <c r="F45" s="74">
        <f>F46+F47+F48+F52+F54+F57+F58+F59+F60+F61+F62+F63+F64+F65</f>
        <v>266949900</v>
      </c>
      <c r="G45" s="74">
        <f>G46+G47+G48+G52+G54+G57+G58+G59+G60+G61+G62+G63+G64+G65</f>
        <v>207218600</v>
      </c>
      <c r="H45" s="74">
        <f>H46+H47+H48+H52+H54+H57+H58+H59+H60+H61+H62+H63+H64+H65</f>
        <v>24546900</v>
      </c>
      <c r="I45" s="74"/>
      <c r="J45" s="74">
        <f>J46+J47+J48+J52+J54+J57+J58+J59+J60+J61+J62+J63+J64+J65</f>
        <v>37583301</v>
      </c>
      <c r="K45" s="74">
        <f>K46+K47+K48+K52+K54+K57+K58+K59+K60+K61+K62+K63+K64+K65</f>
        <v>26091600</v>
      </c>
      <c r="L45" s="75">
        <f>L46+L47+L48+L52+L54+L57+L58+L59+L60+L61+L62+L63+L64+L65</f>
        <v>26091600</v>
      </c>
      <c r="M45" s="74">
        <f>M46+M47+M48+M52+M54+M57+M58+M59+M60+M61+M62+M63+M64+M65</f>
        <v>11461701</v>
      </c>
      <c r="N45" s="74">
        <f>N46+N47+N48+N52+N54+N57+N58+N59+N60+N61+N62+N63+N64+N65</f>
        <v>122000</v>
      </c>
      <c r="O45" s="74"/>
      <c r="P45" s="74">
        <f>P46+P47+P48+P52+P54+P57+P58+P59+P60+P61+P62+P63+P64+P65</f>
        <v>26121600</v>
      </c>
      <c r="Q45" s="74">
        <f t="shared" si="4"/>
        <v>304533201</v>
      </c>
      <c r="R45" s="20"/>
      <c r="S45" s="20"/>
      <c r="T45" s="20"/>
    </row>
    <row r="46" spans="1:20" s="44" customFormat="1" ht="48">
      <c r="A46" s="15" t="s">
        <v>111</v>
      </c>
      <c r="B46" s="15" t="s">
        <v>110</v>
      </c>
      <c r="C46" s="15" t="s">
        <v>21</v>
      </c>
      <c r="D46" s="19" t="s">
        <v>112</v>
      </c>
      <c r="E46" s="76">
        <f>F46+I46</f>
        <v>1998800</v>
      </c>
      <c r="F46" s="76">
        <f>1849200+122600+27000</f>
        <v>1998800</v>
      </c>
      <c r="G46" s="76">
        <f>1795000+122600+27000</f>
        <v>1944600</v>
      </c>
      <c r="H46" s="76">
        <v>22530</v>
      </c>
      <c r="I46" s="76"/>
      <c r="J46" s="76">
        <f t="shared" ref="J46:J65" si="7">M46+P46</f>
        <v>0</v>
      </c>
      <c r="K46" s="76"/>
      <c r="L46" s="80"/>
      <c r="M46" s="76"/>
      <c r="N46" s="76"/>
      <c r="O46" s="76"/>
      <c r="P46" s="76"/>
      <c r="Q46" s="76">
        <f t="shared" si="4"/>
        <v>1998800</v>
      </c>
      <c r="R46" s="20"/>
      <c r="S46" s="20"/>
      <c r="T46" s="20"/>
    </row>
    <row r="47" spans="1:20" s="20" customFormat="1" ht="18.75">
      <c r="A47" s="15" t="s">
        <v>113</v>
      </c>
      <c r="B47" s="15" t="s">
        <v>30</v>
      </c>
      <c r="C47" s="15" t="s">
        <v>31</v>
      </c>
      <c r="D47" s="11" t="s">
        <v>114</v>
      </c>
      <c r="E47" s="76">
        <f>F47+I47</f>
        <v>87624700</v>
      </c>
      <c r="F47" s="83">
        <f>83674700+4000000-50000</f>
        <v>87624700</v>
      </c>
      <c r="G47" s="83">
        <f>59862300+4000000</f>
        <v>63862300</v>
      </c>
      <c r="H47" s="83">
        <v>10791420</v>
      </c>
      <c r="I47" s="83"/>
      <c r="J47" s="76">
        <f t="shared" si="7"/>
        <v>15740300</v>
      </c>
      <c r="K47" s="83">
        <f>1500000+1000000+2500000</f>
        <v>5000000</v>
      </c>
      <c r="L47" s="84">
        <f>1500000+1000000+2500000</f>
        <v>5000000</v>
      </c>
      <c r="M47" s="83">
        <v>10740300</v>
      </c>
      <c r="N47" s="83"/>
      <c r="O47" s="83"/>
      <c r="P47" s="83">
        <f>1500000+1000000+2500000</f>
        <v>5000000</v>
      </c>
      <c r="Q47" s="76">
        <f t="shared" si="4"/>
        <v>103365000</v>
      </c>
    </row>
    <row r="48" spans="1:20" s="20" customFormat="1" ht="79.5">
      <c r="A48" s="15" t="s">
        <v>115</v>
      </c>
      <c r="B48" s="15" t="s">
        <v>32</v>
      </c>
      <c r="C48" s="15" t="s">
        <v>33</v>
      </c>
      <c r="D48" s="19" t="s">
        <v>34</v>
      </c>
      <c r="E48" s="76">
        <f>F48+I48</f>
        <v>126091800</v>
      </c>
      <c r="F48" s="83">
        <f>126092500+49300-50000</f>
        <v>126091800</v>
      </c>
      <c r="G48" s="83">
        <v>108591700</v>
      </c>
      <c r="H48" s="83">
        <v>11990110</v>
      </c>
      <c r="I48" s="83"/>
      <c r="J48" s="76">
        <f t="shared" si="7"/>
        <v>15435000</v>
      </c>
      <c r="K48" s="83">
        <f>3000000+2000000+10000000</f>
        <v>15000000</v>
      </c>
      <c r="L48" s="84">
        <f>3000000+2000000+10000000</f>
        <v>15000000</v>
      </c>
      <c r="M48" s="83">
        <v>435000</v>
      </c>
      <c r="N48" s="83">
        <f>100000+22000</f>
        <v>122000</v>
      </c>
      <c r="O48" s="83"/>
      <c r="P48" s="83">
        <f>3000000+2000000+10000000</f>
        <v>15000000</v>
      </c>
      <c r="Q48" s="76">
        <f t="shared" si="4"/>
        <v>141526800</v>
      </c>
      <c r="S48" s="33"/>
    </row>
    <row r="49" spans="1:20" s="44" customFormat="1" ht="18.75">
      <c r="A49" s="15"/>
      <c r="B49" s="15"/>
      <c r="C49" s="15"/>
      <c r="D49" s="19" t="s">
        <v>327</v>
      </c>
      <c r="E49" s="83"/>
      <c r="F49" s="83"/>
      <c r="G49" s="83"/>
      <c r="H49" s="83"/>
      <c r="I49" s="83"/>
      <c r="J49" s="76"/>
      <c r="K49" s="83"/>
      <c r="L49" s="84"/>
      <c r="M49" s="83"/>
      <c r="N49" s="83"/>
      <c r="O49" s="83"/>
      <c r="P49" s="83"/>
      <c r="Q49" s="76"/>
      <c r="R49" s="20"/>
      <c r="S49" s="33"/>
      <c r="T49" s="20"/>
    </row>
    <row r="50" spans="1:20" s="87" customFormat="1" ht="48">
      <c r="A50" s="23"/>
      <c r="B50" s="23"/>
      <c r="C50" s="23"/>
      <c r="D50" s="24" t="s">
        <v>328</v>
      </c>
      <c r="E50" s="85">
        <f>F50</f>
        <v>90631400</v>
      </c>
      <c r="F50" s="85">
        <f>G50</f>
        <v>90631400</v>
      </c>
      <c r="G50" s="85">
        <v>90631400</v>
      </c>
      <c r="H50" s="85"/>
      <c r="I50" s="85"/>
      <c r="J50" s="78">
        <f>M50+P50</f>
        <v>0</v>
      </c>
      <c r="K50" s="85"/>
      <c r="L50" s="86"/>
      <c r="M50" s="85"/>
      <c r="N50" s="85"/>
      <c r="O50" s="85"/>
      <c r="P50" s="85"/>
      <c r="Q50" s="78">
        <f>E50+J50</f>
        <v>90631400</v>
      </c>
      <c r="R50" s="25"/>
      <c r="S50" s="25"/>
      <c r="T50" s="39"/>
    </row>
    <row r="51" spans="1:20" s="87" customFormat="1" ht="79.5">
      <c r="A51" s="23"/>
      <c r="B51" s="23"/>
      <c r="C51" s="23"/>
      <c r="D51" s="24" t="s">
        <v>366</v>
      </c>
      <c r="E51" s="85">
        <f>F51+I51</f>
        <v>49300</v>
      </c>
      <c r="F51" s="85">
        <v>49300</v>
      </c>
      <c r="G51" s="85"/>
      <c r="H51" s="85"/>
      <c r="I51" s="85"/>
      <c r="J51" s="78"/>
      <c r="K51" s="85"/>
      <c r="L51" s="86"/>
      <c r="M51" s="85"/>
      <c r="N51" s="85"/>
      <c r="O51" s="85"/>
      <c r="P51" s="85"/>
      <c r="Q51" s="78">
        <f>E51+J51</f>
        <v>49300</v>
      </c>
      <c r="R51" s="25"/>
      <c r="S51" s="25"/>
      <c r="T51" s="39"/>
    </row>
    <row r="52" spans="1:20" s="44" customFormat="1" ht="32.25">
      <c r="A52" s="15" t="s">
        <v>116</v>
      </c>
      <c r="B52" s="15" t="s">
        <v>35</v>
      </c>
      <c r="C52" s="15" t="s">
        <v>33</v>
      </c>
      <c r="D52" s="19" t="s">
        <v>36</v>
      </c>
      <c r="E52" s="83">
        <f>F52+I52</f>
        <v>766500</v>
      </c>
      <c r="F52" s="83">
        <v>766500</v>
      </c>
      <c r="G52" s="83">
        <v>688400</v>
      </c>
      <c r="H52" s="83">
        <v>71240</v>
      </c>
      <c r="I52" s="83"/>
      <c r="J52" s="76">
        <f t="shared" si="7"/>
        <v>0</v>
      </c>
      <c r="K52" s="83"/>
      <c r="L52" s="84"/>
      <c r="M52" s="83"/>
      <c r="N52" s="83"/>
      <c r="O52" s="83"/>
      <c r="P52" s="83"/>
      <c r="Q52" s="76">
        <f t="shared" si="4"/>
        <v>766500</v>
      </c>
      <c r="R52" s="20"/>
      <c r="S52" s="20"/>
      <c r="T52" s="34"/>
    </row>
    <row r="53" spans="1:20" s="87" customFormat="1" ht="63.75">
      <c r="A53" s="23"/>
      <c r="B53" s="23"/>
      <c r="C53" s="23"/>
      <c r="D53" s="24" t="s">
        <v>19</v>
      </c>
      <c r="E53" s="85">
        <f>F53+I53</f>
        <v>618900</v>
      </c>
      <c r="F53" s="85">
        <f>G53</f>
        <v>618900</v>
      </c>
      <c r="G53" s="85">
        <v>618900</v>
      </c>
      <c r="H53" s="85"/>
      <c r="I53" s="85"/>
      <c r="J53" s="78">
        <f t="shared" si="7"/>
        <v>0</v>
      </c>
      <c r="K53" s="85"/>
      <c r="L53" s="86"/>
      <c r="M53" s="85"/>
      <c r="N53" s="85"/>
      <c r="O53" s="85"/>
      <c r="P53" s="85"/>
      <c r="Q53" s="78">
        <f t="shared" si="4"/>
        <v>618900</v>
      </c>
      <c r="R53" s="25"/>
      <c r="S53" s="25"/>
      <c r="T53" s="39"/>
    </row>
    <row r="54" spans="1:20" s="20" customFormat="1" ht="79.5">
      <c r="A54" s="15" t="s">
        <v>117</v>
      </c>
      <c r="B54" s="15" t="s">
        <v>64</v>
      </c>
      <c r="C54" s="15" t="s">
        <v>37</v>
      </c>
      <c r="D54" s="19" t="s">
        <v>95</v>
      </c>
      <c r="E54" s="83">
        <f>F54+I54</f>
        <v>10457600</v>
      </c>
      <c r="F54" s="83">
        <v>10457600</v>
      </c>
      <c r="G54" s="83">
        <v>9130300</v>
      </c>
      <c r="H54" s="83">
        <v>612320</v>
      </c>
      <c r="I54" s="83"/>
      <c r="J54" s="76">
        <f t="shared" si="7"/>
        <v>330000</v>
      </c>
      <c r="K54" s="83">
        <v>300000</v>
      </c>
      <c r="L54" s="84">
        <v>300000</v>
      </c>
      <c r="M54" s="83">
        <v>30000</v>
      </c>
      <c r="N54" s="83"/>
      <c r="O54" s="83"/>
      <c r="P54" s="83">
        <v>300000</v>
      </c>
      <c r="Q54" s="76">
        <f t="shared" si="4"/>
        <v>10787600</v>
      </c>
    </row>
    <row r="55" spans="1:20" s="20" customFormat="1" ht="18.75">
      <c r="A55" s="15"/>
      <c r="B55" s="15"/>
      <c r="C55" s="15"/>
      <c r="D55" s="19" t="s">
        <v>327</v>
      </c>
      <c r="E55" s="83"/>
      <c r="F55" s="83"/>
      <c r="G55" s="83"/>
      <c r="H55" s="83"/>
      <c r="I55" s="83"/>
      <c r="J55" s="76"/>
      <c r="K55" s="83"/>
      <c r="L55" s="84"/>
      <c r="M55" s="83"/>
      <c r="N55" s="83"/>
      <c r="O55" s="83"/>
      <c r="P55" s="83"/>
      <c r="Q55" s="76"/>
    </row>
    <row r="56" spans="1:20" s="25" customFormat="1" ht="48">
      <c r="A56" s="23"/>
      <c r="B56" s="23"/>
      <c r="C56" s="23"/>
      <c r="D56" s="24" t="s">
        <v>328</v>
      </c>
      <c r="E56" s="85">
        <f t="shared" ref="E56:E64" si="8">F56+I56</f>
        <v>8057500</v>
      </c>
      <c r="F56" s="85">
        <f>G56</f>
        <v>8057500</v>
      </c>
      <c r="G56" s="85">
        <v>8057500</v>
      </c>
      <c r="H56" s="85"/>
      <c r="I56" s="85"/>
      <c r="J56" s="78">
        <f t="shared" si="7"/>
        <v>0</v>
      </c>
      <c r="K56" s="85"/>
      <c r="L56" s="86"/>
      <c r="M56" s="85"/>
      <c r="N56" s="85"/>
      <c r="O56" s="85"/>
      <c r="P56" s="85"/>
      <c r="Q56" s="78">
        <f t="shared" si="4"/>
        <v>8057500</v>
      </c>
    </row>
    <row r="57" spans="1:20" s="20" customFormat="1" ht="48">
      <c r="A57" s="15" t="s">
        <v>118</v>
      </c>
      <c r="B57" s="15" t="s">
        <v>22</v>
      </c>
      <c r="C57" s="15" t="s">
        <v>38</v>
      </c>
      <c r="D57" s="19" t="s">
        <v>39</v>
      </c>
      <c r="E57" s="83">
        <f t="shared" si="8"/>
        <v>13346100</v>
      </c>
      <c r="F57" s="83">
        <f>13396100-50000</f>
        <v>13346100</v>
      </c>
      <c r="G57" s="83">
        <v>10632000</v>
      </c>
      <c r="H57" s="83">
        <v>368380</v>
      </c>
      <c r="I57" s="83"/>
      <c r="J57" s="76">
        <f t="shared" si="7"/>
        <v>176400</v>
      </c>
      <c r="K57" s="83"/>
      <c r="L57" s="84"/>
      <c r="M57" s="83">
        <v>146400</v>
      </c>
      <c r="N57" s="83"/>
      <c r="O57" s="83"/>
      <c r="P57" s="83">
        <v>30000</v>
      </c>
      <c r="Q57" s="76">
        <f t="shared" si="4"/>
        <v>13522500</v>
      </c>
    </row>
    <row r="58" spans="1:20" s="44" customFormat="1" ht="32.25">
      <c r="A58" s="15" t="s">
        <v>121</v>
      </c>
      <c r="B58" s="15" t="s">
        <v>119</v>
      </c>
      <c r="C58" s="15" t="s">
        <v>40</v>
      </c>
      <c r="D58" s="11" t="s">
        <v>120</v>
      </c>
      <c r="E58" s="83">
        <f t="shared" si="8"/>
        <v>162400</v>
      </c>
      <c r="F58" s="83">
        <v>162400</v>
      </c>
      <c r="G58" s="83"/>
      <c r="H58" s="83"/>
      <c r="I58" s="83"/>
      <c r="J58" s="76">
        <f t="shared" si="7"/>
        <v>0</v>
      </c>
      <c r="K58" s="83"/>
      <c r="L58" s="84"/>
      <c r="M58" s="83"/>
      <c r="N58" s="83"/>
      <c r="O58" s="83"/>
      <c r="P58" s="83"/>
      <c r="Q58" s="76">
        <f t="shared" si="4"/>
        <v>162400</v>
      </c>
      <c r="R58" s="20"/>
      <c r="S58" s="20"/>
      <c r="T58" s="20"/>
    </row>
    <row r="59" spans="1:20" s="44" customFormat="1" ht="32.25">
      <c r="A59" s="15" t="s">
        <v>137</v>
      </c>
      <c r="B59" s="15" t="s">
        <v>136</v>
      </c>
      <c r="C59" s="15" t="s">
        <v>41</v>
      </c>
      <c r="D59" s="19" t="s">
        <v>138</v>
      </c>
      <c r="E59" s="83">
        <f t="shared" si="8"/>
        <v>1823400</v>
      </c>
      <c r="F59" s="83">
        <v>1823400</v>
      </c>
      <c r="G59" s="83">
        <v>1513900</v>
      </c>
      <c r="H59" s="83">
        <v>26820</v>
      </c>
      <c r="I59" s="83"/>
      <c r="J59" s="76">
        <f t="shared" si="7"/>
        <v>0</v>
      </c>
      <c r="K59" s="83"/>
      <c r="L59" s="84"/>
      <c r="M59" s="83"/>
      <c r="N59" s="83"/>
      <c r="O59" s="83"/>
      <c r="P59" s="83"/>
      <c r="Q59" s="76">
        <f t="shared" si="4"/>
        <v>1823400</v>
      </c>
      <c r="R59" s="20"/>
      <c r="S59" s="20"/>
      <c r="T59" s="20"/>
    </row>
    <row r="60" spans="1:20" s="44" customFormat="1" ht="32.25">
      <c r="A60" s="15" t="s">
        <v>260</v>
      </c>
      <c r="B60" s="15" t="s">
        <v>259</v>
      </c>
      <c r="C60" s="15" t="s">
        <v>41</v>
      </c>
      <c r="D60" s="19" t="s">
        <v>299</v>
      </c>
      <c r="E60" s="83">
        <f t="shared" si="8"/>
        <v>7652800</v>
      </c>
      <c r="F60" s="83">
        <v>7652800</v>
      </c>
      <c r="G60" s="83">
        <v>6673900</v>
      </c>
      <c r="H60" s="83">
        <v>269630</v>
      </c>
      <c r="I60" s="83"/>
      <c r="J60" s="76">
        <f t="shared" si="7"/>
        <v>1</v>
      </c>
      <c r="K60" s="83"/>
      <c r="L60" s="84"/>
      <c r="M60" s="83">
        <v>1</v>
      </c>
      <c r="N60" s="83"/>
      <c r="O60" s="83"/>
      <c r="P60" s="83"/>
      <c r="Q60" s="76">
        <f t="shared" si="4"/>
        <v>7652801</v>
      </c>
      <c r="R60" s="20"/>
      <c r="S60" s="20"/>
      <c r="T60" s="20"/>
    </row>
    <row r="61" spans="1:20" s="44" customFormat="1" ht="18.75">
      <c r="A61" s="15" t="s">
        <v>300</v>
      </c>
      <c r="B61" s="15" t="s">
        <v>301</v>
      </c>
      <c r="C61" s="15" t="s">
        <v>41</v>
      </c>
      <c r="D61" s="19" t="s">
        <v>302</v>
      </c>
      <c r="E61" s="83">
        <f t="shared" si="8"/>
        <v>30800</v>
      </c>
      <c r="F61" s="83">
        <v>30800</v>
      </c>
      <c r="G61" s="83"/>
      <c r="H61" s="83"/>
      <c r="I61" s="83"/>
      <c r="J61" s="76"/>
      <c r="K61" s="83"/>
      <c r="L61" s="84"/>
      <c r="M61" s="83"/>
      <c r="N61" s="83"/>
      <c r="O61" s="83"/>
      <c r="P61" s="83"/>
      <c r="Q61" s="76">
        <f t="shared" si="4"/>
        <v>30800</v>
      </c>
      <c r="R61" s="20"/>
      <c r="S61" s="20"/>
      <c r="T61" s="20"/>
    </row>
    <row r="62" spans="1:20" s="44" customFormat="1" ht="79.5">
      <c r="A62" s="15" t="s">
        <v>122</v>
      </c>
      <c r="B62" s="15" t="s">
        <v>49</v>
      </c>
      <c r="C62" s="15" t="s">
        <v>42</v>
      </c>
      <c r="D62" s="11" t="s">
        <v>43</v>
      </c>
      <c r="E62" s="76">
        <f t="shared" si="8"/>
        <v>1153100</v>
      </c>
      <c r="F62" s="76">
        <v>1153100</v>
      </c>
      <c r="G62" s="76"/>
      <c r="H62" s="76"/>
      <c r="I62" s="76"/>
      <c r="J62" s="76">
        <f t="shared" si="7"/>
        <v>0</v>
      </c>
      <c r="K62" s="76"/>
      <c r="L62" s="80"/>
      <c r="M62" s="76"/>
      <c r="N62" s="76"/>
      <c r="O62" s="76"/>
      <c r="P62" s="76"/>
      <c r="Q62" s="76">
        <f t="shared" si="4"/>
        <v>1153100</v>
      </c>
      <c r="R62" s="20"/>
      <c r="S62" s="20"/>
      <c r="T62" s="20"/>
    </row>
    <row r="63" spans="1:20" s="44" customFormat="1" ht="32.25">
      <c r="A63" s="15" t="s">
        <v>296</v>
      </c>
      <c r="B63" s="15" t="s">
        <v>293</v>
      </c>
      <c r="C63" s="15" t="s">
        <v>22</v>
      </c>
      <c r="D63" s="19" t="s">
        <v>294</v>
      </c>
      <c r="E63" s="76">
        <f t="shared" si="8"/>
        <v>10702600</v>
      </c>
      <c r="F63" s="76">
        <v>10702600</v>
      </c>
      <c r="G63" s="76"/>
      <c r="H63" s="76"/>
      <c r="I63" s="76"/>
      <c r="J63" s="76">
        <f t="shared" si="7"/>
        <v>0</v>
      </c>
      <c r="K63" s="76"/>
      <c r="L63" s="80"/>
      <c r="M63" s="76"/>
      <c r="N63" s="76"/>
      <c r="O63" s="76"/>
      <c r="P63" s="76"/>
      <c r="Q63" s="76">
        <f t="shared" si="4"/>
        <v>10702600</v>
      </c>
      <c r="R63" s="20"/>
      <c r="S63" s="20"/>
      <c r="T63" s="20"/>
    </row>
    <row r="64" spans="1:20" s="20" customFormat="1" ht="46.5" customHeight="1">
      <c r="A64" s="15" t="s">
        <v>129</v>
      </c>
      <c r="B64" s="15" t="s">
        <v>96</v>
      </c>
      <c r="C64" s="15" t="s">
        <v>44</v>
      </c>
      <c r="D64" s="11" t="s">
        <v>45</v>
      </c>
      <c r="E64" s="83">
        <f t="shared" si="8"/>
        <v>5139300</v>
      </c>
      <c r="F64" s="83">
        <f>5189300-50000</f>
        <v>5139300</v>
      </c>
      <c r="G64" s="83">
        <v>4181500</v>
      </c>
      <c r="H64" s="83">
        <v>394450</v>
      </c>
      <c r="I64" s="83"/>
      <c r="J64" s="76">
        <f t="shared" si="7"/>
        <v>5901600</v>
      </c>
      <c r="K64" s="83">
        <v>5791600</v>
      </c>
      <c r="L64" s="84">
        <v>5791600</v>
      </c>
      <c r="M64" s="83">
        <v>110000</v>
      </c>
      <c r="N64" s="83"/>
      <c r="O64" s="83"/>
      <c r="P64" s="83">
        <v>5791600</v>
      </c>
      <c r="Q64" s="76">
        <f t="shared" si="4"/>
        <v>11040900</v>
      </c>
    </row>
    <row r="65" spans="1:20" s="44" customFormat="1" ht="32.25" hidden="1">
      <c r="A65" s="15" t="s">
        <v>320</v>
      </c>
      <c r="B65" s="15" t="s">
        <v>266</v>
      </c>
      <c r="C65" s="15" t="s">
        <v>46</v>
      </c>
      <c r="D65" s="14" t="s">
        <v>233</v>
      </c>
      <c r="E65" s="83"/>
      <c r="F65" s="83"/>
      <c r="G65" s="83"/>
      <c r="H65" s="83"/>
      <c r="I65" s="83"/>
      <c r="J65" s="76">
        <f t="shared" si="7"/>
        <v>0</v>
      </c>
      <c r="K65" s="83">
        <f>1500-1500</f>
        <v>0</v>
      </c>
      <c r="L65" s="84">
        <f>1500-1500</f>
        <v>0</v>
      </c>
      <c r="M65" s="83"/>
      <c r="N65" s="83"/>
      <c r="O65" s="83"/>
      <c r="P65" s="83">
        <f>1500-1500</f>
        <v>0</v>
      </c>
      <c r="Q65" s="76">
        <f t="shared" si="4"/>
        <v>0</v>
      </c>
      <c r="R65" s="20"/>
      <c r="S65" s="20"/>
      <c r="T65" s="20"/>
    </row>
    <row r="66" spans="1:20" s="21" customFormat="1" ht="35.25" customHeight="1">
      <c r="A66" s="17" t="s">
        <v>130</v>
      </c>
      <c r="B66" s="17"/>
      <c r="C66" s="17"/>
      <c r="D66" s="18" t="s">
        <v>15</v>
      </c>
      <c r="E66" s="74">
        <f>E67</f>
        <v>157350720</v>
      </c>
      <c r="F66" s="74">
        <f>F67</f>
        <v>157350720</v>
      </c>
      <c r="G66" s="74">
        <f t="shared" ref="G66:P66" si="9">G67</f>
        <v>16512200</v>
      </c>
      <c r="H66" s="74">
        <f t="shared" si="9"/>
        <v>507900</v>
      </c>
      <c r="I66" s="74">
        <f t="shared" si="9"/>
        <v>0</v>
      </c>
      <c r="J66" s="74">
        <f t="shared" si="9"/>
        <v>66000</v>
      </c>
      <c r="K66" s="74">
        <f t="shared" si="9"/>
        <v>44000</v>
      </c>
      <c r="L66" s="75">
        <f t="shared" si="9"/>
        <v>44000</v>
      </c>
      <c r="M66" s="74">
        <f t="shared" si="9"/>
        <v>8000</v>
      </c>
      <c r="N66" s="74">
        <f t="shared" si="9"/>
        <v>0</v>
      </c>
      <c r="O66" s="74">
        <f t="shared" si="9"/>
        <v>0</v>
      </c>
      <c r="P66" s="74">
        <f t="shared" si="9"/>
        <v>58000</v>
      </c>
      <c r="Q66" s="74">
        <f t="shared" si="4"/>
        <v>157416720</v>
      </c>
    </row>
    <row r="67" spans="1:20" s="20" customFormat="1" ht="34.5" customHeight="1">
      <c r="A67" s="17" t="s">
        <v>131</v>
      </c>
      <c r="B67" s="15"/>
      <c r="C67" s="15"/>
      <c r="D67" s="18" t="s">
        <v>15</v>
      </c>
      <c r="E67" s="74">
        <f>E68+E69+E92+E94+E95+E90+E96+E70+E71+E72+E73+E74+E75+E76+E77+E78+E79+E80+E81+E82+E83+E84+E85+E87+E89+E91+E93+E86+E88</f>
        <v>157350720</v>
      </c>
      <c r="F67" s="74">
        <f>F68+F69+F92+F94+F95+F90+F96+F70+F71+F72+F73+F74+F75+F76+F77+F78+F79+F80+F81+F82+F83+F84+F85+F87+F89+F91+F93+F86+F88</f>
        <v>157350720</v>
      </c>
      <c r="G67" s="74">
        <f t="shared" ref="G67:P67" si="10">G68+G69+G92+G94+G95+G90+G96+G70+G71+G72+G73+G74+G75+G76+G77+G78+G79+G80+G81+G82+G85+G87+G91+G86</f>
        <v>16512200</v>
      </c>
      <c r="H67" s="74">
        <f t="shared" si="10"/>
        <v>507900</v>
      </c>
      <c r="I67" s="74">
        <f t="shared" si="10"/>
        <v>0</v>
      </c>
      <c r="J67" s="74">
        <f t="shared" si="10"/>
        <v>66000</v>
      </c>
      <c r="K67" s="74">
        <f>K68+K69+K92+K94+K95+K90+K96+K70+K71+K72+K73+K74+K75+K76+K77+K78+K79+K80+K81+K82+K85+K87+K91+K86</f>
        <v>44000</v>
      </c>
      <c r="L67" s="75">
        <f>L68+L69+L92+L94+L95+L90+L96+L70+L71+L72+L73+L74+L75+L76+L77+L78+L79+L80+L81+L82+L85+L87+L91+L86</f>
        <v>44000</v>
      </c>
      <c r="M67" s="74">
        <f t="shared" si="10"/>
        <v>8000</v>
      </c>
      <c r="N67" s="74">
        <f t="shared" si="10"/>
        <v>0</v>
      </c>
      <c r="O67" s="74">
        <f t="shared" si="10"/>
        <v>0</v>
      </c>
      <c r="P67" s="74">
        <f t="shared" si="10"/>
        <v>58000</v>
      </c>
      <c r="Q67" s="74">
        <f t="shared" si="4"/>
        <v>157416720</v>
      </c>
    </row>
    <row r="68" spans="1:20" s="20" customFormat="1" ht="48">
      <c r="A68" s="15" t="s">
        <v>132</v>
      </c>
      <c r="B68" s="15" t="s">
        <v>110</v>
      </c>
      <c r="C68" s="15" t="s">
        <v>21</v>
      </c>
      <c r="D68" s="14" t="s">
        <v>112</v>
      </c>
      <c r="E68" s="76">
        <f>F68+I68</f>
        <v>9668800</v>
      </c>
      <c r="F68" s="76">
        <f>9174300+566000+124500-196000</f>
        <v>9668800</v>
      </c>
      <c r="G68" s="76">
        <f>8285700+566000+124500</f>
        <v>8976200</v>
      </c>
      <c r="H68" s="76">
        <v>324400</v>
      </c>
      <c r="I68" s="76"/>
      <c r="J68" s="76">
        <f>M68+P68</f>
        <v>32000</v>
      </c>
      <c r="K68" s="76">
        <v>32000</v>
      </c>
      <c r="L68" s="80">
        <v>32000</v>
      </c>
      <c r="M68" s="76"/>
      <c r="N68" s="76"/>
      <c r="O68" s="76"/>
      <c r="P68" s="76">
        <v>32000</v>
      </c>
      <c r="Q68" s="76">
        <f t="shared" si="4"/>
        <v>9700800</v>
      </c>
    </row>
    <row r="69" spans="1:20" s="13" customFormat="1" ht="18.75">
      <c r="A69" s="15" t="s">
        <v>325</v>
      </c>
      <c r="B69" s="15" t="s">
        <v>29</v>
      </c>
      <c r="C69" s="15" t="s">
        <v>25</v>
      </c>
      <c r="D69" s="37" t="s">
        <v>182</v>
      </c>
      <c r="E69" s="76">
        <f>F69+I69</f>
        <v>10000</v>
      </c>
      <c r="F69" s="76">
        <v>10000</v>
      </c>
      <c r="G69" s="74"/>
      <c r="H69" s="74"/>
      <c r="I69" s="74"/>
      <c r="J69" s="74"/>
      <c r="K69" s="74"/>
      <c r="L69" s="75"/>
      <c r="M69" s="74"/>
      <c r="N69" s="74"/>
      <c r="O69" s="74"/>
      <c r="P69" s="74"/>
      <c r="Q69" s="76">
        <f t="shared" si="4"/>
        <v>10000</v>
      </c>
    </row>
    <row r="70" spans="1:20" s="88" customFormat="1" ht="48">
      <c r="A70" s="15" t="s">
        <v>195</v>
      </c>
      <c r="B70" s="15" t="s">
        <v>60</v>
      </c>
      <c r="C70" s="15" t="s">
        <v>35</v>
      </c>
      <c r="D70" s="11" t="s">
        <v>194</v>
      </c>
      <c r="E70" s="76">
        <v>5765500</v>
      </c>
      <c r="F70" s="76">
        <v>5765500</v>
      </c>
      <c r="G70" s="76"/>
      <c r="H70" s="76"/>
      <c r="I70" s="76"/>
      <c r="J70" s="74"/>
      <c r="K70" s="76"/>
      <c r="L70" s="80"/>
      <c r="M70" s="76"/>
      <c r="N70" s="76"/>
      <c r="O70" s="76"/>
      <c r="P70" s="76"/>
      <c r="Q70" s="76">
        <f t="shared" si="4"/>
        <v>5765500</v>
      </c>
      <c r="R70" s="40"/>
      <c r="S70" s="40"/>
      <c r="T70" s="40"/>
    </row>
    <row r="71" spans="1:20" s="88" customFormat="1" ht="32.25">
      <c r="A71" s="15" t="s">
        <v>196</v>
      </c>
      <c r="B71" s="15" t="s">
        <v>63</v>
      </c>
      <c r="C71" s="15" t="s">
        <v>35</v>
      </c>
      <c r="D71" s="11" t="s">
        <v>79</v>
      </c>
      <c r="E71" s="76">
        <v>13500000</v>
      </c>
      <c r="F71" s="76">
        <v>13500000</v>
      </c>
      <c r="G71" s="76"/>
      <c r="H71" s="76"/>
      <c r="I71" s="76"/>
      <c r="J71" s="74"/>
      <c r="K71" s="76"/>
      <c r="L71" s="80"/>
      <c r="M71" s="76"/>
      <c r="N71" s="76"/>
      <c r="O71" s="76"/>
      <c r="P71" s="76"/>
      <c r="Q71" s="76">
        <f t="shared" si="4"/>
        <v>13500000</v>
      </c>
      <c r="R71" s="40"/>
      <c r="S71" s="40"/>
      <c r="T71" s="40"/>
    </row>
    <row r="72" spans="1:20" s="88" customFormat="1" ht="63.75">
      <c r="A72" s="15" t="s">
        <v>198</v>
      </c>
      <c r="B72" s="15" t="s">
        <v>61</v>
      </c>
      <c r="C72" s="15" t="s">
        <v>35</v>
      </c>
      <c r="D72" s="11" t="s">
        <v>197</v>
      </c>
      <c r="E72" s="76">
        <v>23000</v>
      </c>
      <c r="F72" s="76">
        <v>23000</v>
      </c>
      <c r="G72" s="76"/>
      <c r="H72" s="76"/>
      <c r="I72" s="76"/>
      <c r="J72" s="74"/>
      <c r="K72" s="76"/>
      <c r="L72" s="80"/>
      <c r="M72" s="76"/>
      <c r="N72" s="76"/>
      <c r="O72" s="76"/>
      <c r="P72" s="76"/>
      <c r="Q72" s="76">
        <f t="shared" si="4"/>
        <v>23000</v>
      </c>
      <c r="R72" s="40"/>
      <c r="S72" s="40"/>
      <c r="T72" s="40"/>
    </row>
    <row r="73" spans="1:20" s="88" customFormat="1" ht="48">
      <c r="A73" s="15" t="s">
        <v>200</v>
      </c>
      <c r="B73" s="15" t="s">
        <v>199</v>
      </c>
      <c r="C73" s="15" t="s">
        <v>56</v>
      </c>
      <c r="D73" s="11" t="s">
        <v>80</v>
      </c>
      <c r="E73" s="76">
        <v>236000</v>
      </c>
      <c r="F73" s="76">
        <v>236000</v>
      </c>
      <c r="G73" s="76"/>
      <c r="H73" s="76"/>
      <c r="I73" s="76"/>
      <c r="J73" s="74"/>
      <c r="K73" s="76"/>
      <c r="L73" s="80"/>
      <c r="M73" s="76"/>
      <c r="N73" s="76"/>
      <c r="O73" s="76"/>
      <c r="P73" s="76"/>
      <c r="Q73" s="76">
        <f t="shared" si="4"/>
        <v>236000</v>
      </c>
      <c r="R73" s="40"/>
      <c r="S73" s="40"/>
      <c r="T73" s="40"/>
    </row>
    <row r="74" spans="1:20" s="88" customFormat="1" ht="32.25">
      <c r="A74" s="15" t="s">
        <v>202</v>
      </c>
      <c r="B74" s="15" t="s">
        <v>62</v>
      </c>
      <c r="C74" s="15" t="s">
        <v>35</v>
      </c>
      <c r="D74" s="11" t="s">
        <v>201</v>
      </c>
      <c r="E74" s="76">
        <f>F74+I74</f>
        <v>368400</v>
      </c>
      <c r="F74" s="76">
        <v>368400</v>
      </c>
      <c r="G74" s="76"/>
      <c r="H74" s="76"/>
      <c r="I74" s="76"/>
      <c r="J74" s="74"/>
      <c r="K74" s="76"/>
      <c r="L74" s="80"/>
      <c r="M74" s="76"/>
      <c r="N74" s="76"/>
      <c r="O74" s="76"/>
      <c r="P74" s="76"/>
      <c r="Q74" s="76">
        <f t="shared" si="4"/>
        <v>368400</v>
      </c>
      <c r="R74" s="40"/>
      <c r="S74" s="40"/>
      <c r="T74" s="40"/>
    </row>
    <row r="75" spans="1:20" s="88" customFormat="1" ht="32.25">
      <c r="A75" s="15" t="s">
        <v>203</v>
      </c>
      <c r="B75" s="15" t="s">
        <v>204</v>
      </c>
      <c r="C75" s="15" t="s">
        <v>64</v>
      </c>
      <c r="D75" s="11" t="s">
        <v>65</v>
      </c>
      <c r="E75" s="76">
        <f>F75+I75</f>
        <v>228000</v>
      </c>
      <c r="F75" s="76">
        <v>228000</v>
      </c>
      <c r="G75" s="76"/>
      <c r="H75" s="76"/>
      <c r="I75" s="76"/>
      <c r="J75" s="74"/>
      <c r="K75" s="76"/>
      <c r="L75" s="80"/>
      <c r="M75" s="76"/>
      <c r="N75" s="76"/>
      <c r="O75" s="76"/>
      <c r="P75" s="76"/>
      <c r="Q75" s="76">
        <f t="shared" si="4"/>
        <v>228000</v>
      </c>
      <c r="R75" s="40"/>
      <c r="S75" s="40"/>
      <c r="T75" s="40"/>
    </row>
    <row r="76" spans="1:20" s="43" customFormat="1" ht="32.25">
      <c r="A76" s="15" t="s">
        <v>205</v>
      </c>
      <c r="B76" s="15" t="s">
        <v>66</v>
      </c>
      <c r="C76" s="15" t="s">
        <v>42</v>
      </c>
      <c r="D76" s="14" t="s">
        <v>67</v>
      </c>
      <c r="E76" s="76">
        <v>1540100</v>
      </c>
      <c r="F76" s="76">
        <v>1540100</v>
      </c>
      <c r="G76" s="76"/>
      <c r="H76" s="76"/>
      <c r="I76" s="76"/>
      <c r="J76" s="74"/>
      <c r="K76" s="76"/>
      <c r="L76" s="80"/>
      <c r="M76" s="76"/>
      <c r="N76" s="76"/>
      <c r="O76" s="76"/>
      <c r="P76" s="76"/>
      <c r="Q76" s="76">
        <f t="shared" si="4"/>
        <v>1540100</v>
      </c>
      <c r="R76" s="13"/>
      <c r="S76" s="13"/>
      <c r="T76" s="13"/>
    </row>
    <row r="77" spans="1:20" s="43" customFormat="1" ht="18.75">
      <c r="A77" s="15" t="s">
        <v>206</v>
      </c>
      <c r="B77" s="15" t="s">
        <v>68</v>
      </c>
      <c r="C77" s="15" t="s">
        <v>42</v>
      </c>
      <c r="D77" s="26" t="s">
        <v>77</v>
      </c>
      <c r="E77" s="76">
        <v>200000</v>
      </c>
      <c r="F77" s="76">
        <v>200000</v>
      </c>
      <c r="G77" s="76"/>
      <c r="H77" s="76"/>
      <c r="I77" s="76"/>
      <c r="J77" s="74"/>
      <c r="K77" s="76"/>
      <c r="L77" s="80"/>
      <c r="M77" s="76"/>
      <c r="N77" s="76"/>
      <c r="O77" s="76"/>
      <c r="P77" s="76"/>
      <c r="Q77" s="76">
        <f t="shared" si="4"/>
        <v>200000</v>
      </c>
      <c r="R77" s="13"/>
      <c r="S77" s="13"/>
      <c r="T77" s="13"/>
    </row>
    <row r="78" spans="1:20" s="43" customFormat="1" ht="18.75">
      <c r="A78" s="15" t="s">
        <v>207</v>
      </c>
      <c r="B78" s="15" t="s">
        <v>69</v>
      </c>
      <c r="C78" s="15" t="s">
        <v>42</v>
      </c>
      <c r="D78" s="14" t="s">
        <v>70</v>
      </c>
      <c r="E78" s="76">
        <f>46510700+4000000</f>
        <v>50510700</v>
      </c>
      <c r="F78" s="76">
        <f>46510700+4000000</f>
        <v>50510700</v>
      </c>
      <c r="G78" s="76"/>
      <c r="H78" s="76"/>
      <c r="I78" s="76"/>
      <c r="J78" s="74"/>
      <c r="K78" s="76"/>
      <c r="L78" s="80"/>
      <c r="M78" s="76"/>
      <c r="N78" s="76"/>
      <c r="O78" s="76"/>
      <c r="P78" s="76"/>
      <c r="Q78" s="76">
        <f t="shared" si="4"/>
        <v>50510700</v>
      </c>
      <c r="R78" s="13"/>
      <c r="S78" s="13"/>
      <c r="T78" s="13"/>
    </row>
    <row r="79" spans="1:20" s="43" customFormat="1" ht="32.25">
      <c r="A79" s="15" t="s">
        <v>208</v>
      </c>
      <c r="B79" s="15" t="s">
        <v>71</v>
      </c>
      <c r="C79" s="15" t="s">
        <v>42</v>
      </c>
      <c r="D79" s="14" t="s">
        <v>72</v>
      </c>
      <c r="E79" s="76">
        <v>5000000</v>
      </c>
      <c r="F79" s="76">
        <v>5000000</v>
      </c>
      <c r="G79" s="76"/>
      <c r="H79" s="76"/>
      <c r="I79" s="76"/>
      <c r="J79" s="74"/>
      <c r="K79" s="76"/>
      <c r="L79" s="80"/>
      <c r="M79" s="76"/>
      <c r="N79" s="76"/>
      <c r="O79" s="76"/>
      <c r="P79" s="76"/>
      <c r="Q79" s="76">
        <f t="shared" si="4"/>
        <v>5000000</v>
      </c>
      <c r="R79" s="13"/>
      <c r="S79" s="13"/>
      <c r="T79" s="13"/>
    </row>
    <row r="80" spans="1:20" s="43" customFormat="1" ht="18.75">
      <c r="A80" s="15" t="s">
        <v>209</v>
      </c>
      <c r="B80" s="15" t="s">
        <v>75</v>
      </c>
      <c r="C80" s="15" t="s">
        <v>42</v>
      </c>
      <c r="D80" s="14" t="s">
        <v>74</v>
      </c>
      <c r="E80" s="76">
        <v>9000000</v>
      </c>
      <c r="F80" s="76">
        <v>9000000</v>
      </c>
      <c r="G80" s="76"/>
      <c r="H80" s="76"/>
      <c r="I80" s="76"/>
      <c r="J80" s="74"/>
      <c r="K80" s="76"/>
      <c r="L80" s="80"/>
      <c r="M80" s="76"/>
      <c r="N80" s="76"/>
      <c r="O80" s="76"/>
      <c r="P80" s="76"/>
      <c r="Q80" s="76">
        <f t="shared" si="4"/>
        <v>9000000</v>
      </c>
      <c r="R80" s="13"/>
      <c r="S80" s="13"/>
      <c r="T80" s="13"/>
    </row>
    <row r="81" spans="1:20" s="43" customFormat="1" ht="18.75">
      <c r="A81" s="15" t="s">
        <v>210</v>
      </c>
      <c r="B81" s="15" t="s">
        <v>73</v>
      </c>
      <c r="C81" s="15" t="s">
        <v>42</v>
      </c>
      <c r="D81" s="14" t="s">
        <v>102</v>
      </c>
      <c r="E81" s="76">
        <v>933000</v>
      </c>
      <c r="F81" s="76">
        <v>933000</v>
      </c>
      <c r="G81" s="76"/>
      <c r="H81" s="76"/>
      <c r="I81" s="76"/>
      <c r="J81" s="74"/>
      <c r="K81" s="76"/>
      <c r="L81" s="80"/>
      <c r="M81" s="76"/>
      <c r="N81" s="76"/>
      <c r="O81" s="76"/>
      <c r="P81" s="76"/>
      <c r="Q81" s="76">
        <f t="shared" si="4"/>
        <v>933000</v>
      </c>
      <c r="R81" s="13"/>
      <c r="S81" s="13"/>
      <c r="T81" s="13"/>
    </row>
    <row r="82" spans="1:20" s="43" customFormat="1" ht="35.25" customHeight="1">
      <c r="A82" s="15" t="s">
        <v>211</v>
      </c>
      <c r="B82" s="15" t="s">
        <v>76</v>
      </c>
      <c r="C82" s="15" t="s">
        <v>42</v>
      </c>
      <c r="D82" s="14" t="s">
        <v>78</v>
      </c>
      <c r="E82" s="76">
        <v>6210600</v>
      </c>
      <c r="F82" s="76">
        <v>6210600</v>
      </c>
      <c r="G82" s="76"/>
      <c r="H82" s="76"/>
      <c r="I82" s="76"/>
      <c r="J82" s="74"/>
      <c r="K82" s="76"/>
      <c r="L82" s="80"/>
      <c r="M82" s="76"/>
      <c r="N82" s="76"/>
      <c r="O82" s="76"/>
      <c r="P82" s="76"/>
      <c r="Q82" s="76">
        <f t="shared" si="4"/>
        <v>6210600</v>
      </c>
      <c r="R82" s="13"/>
      <c r="S82" s="13"/>
      <c r="T82" s="13"/>
    </row>
    <row r="83" spans="1:20" s="43" customFormat="1" ht="32.25" hidden="1">
      <c r="A83" s="15" t="s">
        <v>367</v>
      </c>
      <c r="B83" s="15" t="s">
        <v>368</v>
      </c>
      <c r="C83" s="15" t="s">
        <v>42</v>
      </c>
      <c r="D83" s="14" t="s">
        <v>369</v>
      </c>
      <c r="E83" s="76">
        <f>4000000-4000000</f>
        <v>0</v>
      </c>
      <c r="F83" s="76">
        <f>4000000-4000000</f>
        <v>0</v>
      </c>
      <c r="G83" s="76"/>
      <c r="H83" s="76"/>
      <c r="I83" s="76"/>
      <c r="J83" s="74"/>
      <c r="K83" s="76"/>
      <c r="L83" s="80"/>
      <c r="M83" s="76"/>
      <c r="N83" s="76"/>
      <c r="O83" s="76"/>
      <c r="P83" s="76"/>
      <c r="Q83" s="76">
        <f t="shared" si="4"/>
        <v>0</v>
      </c>
      <c r="R83" s="13"/>
      <c r="S83" s="13"/>
      <c r="T83" s="13"/>
    </row>
    <row r="84" spans="1:20" s="43" customFormat="1" ht="30.75">
      <c r="A84" s="15" t="s">
        <v>370</v>
      </c>
      <c r="B84" s="32" t="s">
        <v>371</v>
      </c>
      <c r="C84" s="32" t="s">
        <v>64</v>
      </c>
      <c r="D84" s="35" t="s">
        <v>372</v>
      </c>
      <c r="E84" s="76">
        <f>F84+I84</f>
        <v>129280</v>
      </c>
      <c r="F84" s="76">
        <v>129280</v>
      </c>
      <c r="G84" s="76"/>
      <c r="H84" s="76"/>
      <c r="I84" s="76"/>
      <c r="J84" s="74"/>
      <c r="K84" s="76"/>
      <c r="L84" s="80"/>
      <c r="M84" s="76"/>
      <c r="N84" s="76"/>
      <c r="O84" s="76"/>
      <c r="P84" s="76"/>
      <c r="Q84" s="76">
        <f t="shared" si="4"/>
        <v>129280</v>
      </c>
      <c r="R84" s="13"/>
      <c r="S84" s="13"/>
      <c r="T84" s="13"/>
    </row>
    <row r="85" spans="1:20" s="43" customFormat="1" ht="48">
      <c r="A85" s="15" t="s">
        <v>277</v>
      </c>
      <c r="B85" s="15" t="s">
        <v>279</v>
      </c>
      <c r="C85" s="15" t="s">
        <v>30</v>
      </c>
      <c r="D85" s="11" t="s">
        <v>281</v>
      </c>
      <c r="E85" s="76">
        <v>11854000</v>
      </c>
      <c r="F85" s="76">
        <v>11854000</v>
      </c>
      <c r="G85" s="76"/>
      <c r="H85" s="76"/>
      <c r="I85" s="76"/>
      <c r="J85" s="74"/>
      <c r="K85" s="76"/>
      <c r="L85" s="80"/>
      <c r="M85" s="76"/>
      <c r="N85" s="76"/>
      <c r="O85" s="76"/>
      <c r="P85" s="76"/>
      <c r="Q85" s="76">
        <f t="shared" si="4"/>
        <v>11854000</v>
      </c>
      <c r="R85" s="13"/>
      <c r="S85" s="13"/>
      <c r="T85" s="13"/>
    </row>
    <row r="86" spans="1:20" s="43" customFormat="1" ht="63.75">
      <c r="A86" s="15" t="s">
        <v>373</v>
      </c>
      <c r="B86" s="15" t="s">
        <v>303</v>
      </c>
      <c r="C86" s="15" t="s">
        <v>30</v>
      </c>
      <c r="D86" s="11" t="s">
        <v>304</v>
      </c>
      <c r="E86" s="76">
        <v>4231000</v>
      </c>
      <c r="F86" s="76">
        <v>4231000</v>
      </c>
      <c r="G86" s="76"/>
      <c r="H86" s="76"/>
      <c r="I86" s="76"/>
      <c r="J86" s="74"/>
      <c r="K86" s="76"/>
      <c r="L86" s="80"/>
      <c r="M86" s="76"/>
      <c r="N86" s="76"/>
      <c r="O86" s="76"/>
      <c r="P86" s="76"/>
      <c r="Q86" s="76">
        <f t="shared" si="4"/>
        <v>4231000</v>
      </c>
      <c r="R86" s="13"/>
      <c r="S86" s="13"/>
      <c r="T86" s="13"/>
    </row>
    <row r="87" spans="1:20" s="43" customFormat="1" ht="48">
      <c r="A87" s="15" t="s">
        <v>278</v>
      </c>
      <c r="B87" s="15" t="s">
        <v>280</v>
      </c>
      <c r="C87" s="15" t="s">
        <v>30</v>
      </c>
      <c r="D87" s="11" t="s">
        <v>282</v>
      </c>
      <c r="E87" s="76">
        <v>1748000</v>
      </c>
      <c r="F87" s="76">
        <v>1748000</v>
      </c>
      <c r="G87" s="74"/>
      <c r="H87" s="74"/>
      <c r="I87" s="74"/>
      <c r="J87" s="74"/>
      <c r="K87" s="74"/>
      <c r="L87" s="75"/>
      <c r="M87" s="74"/>
      <c r="N87" s="74"/>
      <c r="O87" s="74"/>
      <c r="P87" s="74"/>
      <c r="Q87" s="76">
        <f t="shared" si="4"/>
        <v>1748000</v>
      </c>
      <c r="R87" s="13"/>
      <c r="S87" s="13"/>
      <c r="T87" s="13"/>
    </row>
    <row r="88" spans="1:20" s="44" customFormat="1" ht="63.75">
      <c r="A88" s="15" t="s">
        <v>374</v>
      </c>
      <c r="B88" s="15" t="s">
        <v>375</v>
      </c>
      <c r="C88" s="15" t="s">
        <v>42</v>
      </c>
      <c r="D88" s="11" t="s">
        <v>376</v>
      </c>
      <c r="E88" s="83">
        <v>990600</v>
      </c>
      <c r="F88" s="83">
        <v>990600</v>
      </c>
      <c r="G88" s="83"/>
      <c r="H88" s="83"/>
      <c r="I88" s="83"/>
      <c r="J88" s="83"/>
      <c r="K88" s="83"/>
      <c r="L88" s="84"/>
      <c r="M88" s="83"/>
      <c r="N88" s="83"/>
      <c r="O88" s="83"/>
      <c r="P88" s="83"/>
      <c r="Q88" s="76">
        <f t="shared" si="4"/>
        <v>990600</v>
      </c>
      <c r="R88" s="20"/>
      <c r="S88" s="20"/>
      <c r="T88" s="20"/>
    </row>
    <row r="89" spans="1:20" s="44" customFormat="1" ht="38.25" customHeight="1">
      <c r="A89" s="15" t="s">
        <v>377</v>
      </c>
      <c r="B89" s="15" t="s">
        <v>378</v>
      </c>
      <c r="C89" s="15" t="s">
        <v>35</v>
      </c>
      <c r="D89" s="11" t="s">
        <v>379</v>
      </c>
      <c r="E89" s="83">
        <f>F89+I89</f>
        <v>57500</v>
      </c>
      <c r="F89" s="83">
        <v>57500</v>
      </c>
      <c r="G89" s="83"/>
      <c r="H89" s="83"/>
      <c r="I89" s="83"/>
      <c r="J89" s="83"/>
      <c r="K89" s="83"/>
      <c r="L89" s="84"/>
      <c r="M89" s="83"/>
      <c r="N89" s="83"/>
      <c r="O89" s="83"/>
      <c r="P89" s="83"/>
      <c r="Q89" s="76">
        <f t="shared" si="4"/>
        <v>57500</v>
      </c>
      <c r="R89" s="20"/>
      <c r="S89" s="20"/>
      <c r="T89" s="20"/>
    </row>
    <row r="90" spans="1:20" s="13" customFormat="1" ht="63.75">
      <c r="A90" s="15" t="s">
        <v>225</v>
      </c>
      <c r="B90" s="15" t="s">
        <v>224</v>
      </c>
      <c r="C90" s="15" t="s">
        <v>32</v>
      </c>
      <c r="D90" s="11" t="s">
        <v>283</v>
      </c>
      <c r="E90" s="76">
        <f t="shared" ref="E90:E96" si="11">F90+I90</f>
        <v>6117900</v>
      </c>
      <c r="F90" s="76">
        <f>6190300-72400</f>
        <v>6117900</v>
      </c>
      <c r="G90" s="76">
        <f>5939600-72400</f>
        <v>5867200</v>
      </c>
      <c r="H90" s="76">
        <v>63500</v>
      </c>
      <c r="I90" s="76"/>
      <c r="J90" s="76">
        <f>M90+P90</f>
        <v>22000</v>
      </c>
      <c r="K90" s="76"/>
      <c r="L90" s="80"/>
      <c r="M90" s="76">
        <v>8000</v>
      </c>
      <c r="N90" s="76"/>
      <c r="O90" s="76"/>
      <c r="P90" s="76">
        <v>14000</v>
      </c>
      <c r="Q90" s="76">
        <f t="shared" si="4"/>
        <v>6139900</v>
      </c>
    </row>
    <row r="91" spans="1:20" s="88" customFormat="1" ht="38.25" customHeight="1">
      <c r="A91" s="15" t="s">
        <v>134</v>
      </c>
      <c r="B91" s="15" t="s">
        <v>133</v>
      </c>
      <c r="C91" s="15" t="s">
        <v>42</v>
      </c>
      <c r="D91" s="11" t="s">
        <v>135</v>
      </c>
      <c r="E91" s="83">
        <f t="shared" si="11"/>
        <v>3493400</v>
      </c>
      <c r="F91" s="83">
        <v>3493400</v>
      </c>
      <c r="G91" s="83">
        <f>2901200-1178400-54000</f>
        <v>1668800</v>
      </c>
      <c r="H91" s="83">
        <v>120000</v>
      </c>
      <c r="I91" s="83"/>
      <c r="J91" s="76">
        <f>M91+P91</f>
        <v>12000</v>
      </c>
      <c r="K91" s="76">
        <v>12000</v>
      </c>
      <c r="L91" s="80">
        <v>12000</v>
      </c>
      <c r="M91" s="76"/>
      <c r="N91" s="76"/>
      <c r="O91" s="76"/>
      <c r="P91" s="76">
        <v>12000</v>
      </c>
      <c r="Q91" s="76">
        <f t="shared" si="4"/>
        <v>3505400</v>
      </c>
      <c r="R91" s="40"/>
      <c r="S91" s="40"/>
      <c r="T91" s="40"/>
    </row>
    <row r="92" spans="1:20" s="43" customFormat="1" ht="95.25">
      <c r="A92" s="15" t="s">
        <v>284</v>
      </c>
      <c r="B92" s="15" t="s">
        <v>285</v>
      </c>
      <c r="C92" s="15" t="s">
        <v>30</v>
      </c>
      <c r="D92" s="11" t="s">
        <v>286</v>
      </c>
      <c r="E92" s="83">
        <f t="shared" si="11"/>
        <v>542200</v>
      </c>
      <c r="F92" s="83">
        <v>542200</v>
      </c>
      <c r="G92" s="83"/>
      <c r="H92" s="83"/>
      <c r="I92" s="83"/>
      <c r="J92" s="76"/>
      <c r="K92" s="76"/>
      <c r="L92" s="80"/>
      <c r="M92" s="76"/>
      <c r="N92" s="76"/>
      <c r="O92" s="76"/>
      <c r="P92" s="76"/>
      <c r="Q92" s="76">
        <f t="shared" ref="Q92:Q95" si="12">E92+J92</f>
        <v>542200</v>
      </c>
      <c r="R92" s="13"/>
      <c r="S92" s="13"/>
      <c r="T92" s="13"/>
    </row>
    <row r="93" spans="1:20" s="43" customFormat="1" ht="63.75">
      <c r="A93" s="15" t="s">
        <v>380</v>
      </c>
      <c r="B93" s="15" t="s">
        <v>381</v>
      </c>
      <c r="C93" s="32" t="s">
        <v>30</v>
      </c>
      <c r="D93" s="11" t="s">
        <v>382</v>
      </c>
      <c r="E93" s="83">
        <f t="shared" si="11"/>
        <v>29040</v>
      </c>
      <c r="F93" s="83">
        <v>29040</v>
      </c>
      <c r="G93" s="83"/>
      <c r="H93" s="83"/>
      <c r="I93" s="83"/>
      <c r="J93" s="76"/>
      <c r="K93" s="76"/>
      <c r="L93" s="80"/>
      <c r="M93" s="76"/>
      <c r="N93" s="76"/>
      <c r="O93" s="76"/>
      <c r="P93" s="76"/>
      <c r="Q93" s="76">
        <f t="shared" si="12"/>
        <v>29040</v>
      </c>
      <c r="R93" s="13"/>
      <c r="S93" s="13"/>
      <c r="T93" s="13"/>
    </row>
    <row r="94" spans="1:20" s="43" customFormat="1" ht="79.5">
      <c r="A94" s="15" t="s">
        <v>287</v>
      </c>
      <c r="B94" s="15" t="s">
        <v>288</v>
      </c>
      <c r="C94" s="15" t="s">
        <v>56</v>
      </c>
      <c r="D94" s="11" t="s">
        <v>289</v>
      </c>
      <c r="E94" s="76">
        <f t="shared" si="11"/>
        <v>935000</v>
      </c>
      <c r="F94" s="76">
        <v>935000</v>
      </c>
      <c r="G94" s="76"/>
      <c r="H94" s="76"/>
      <c r="I94" s="76"/>
      <c r="J94" s="76"/>
      <c r="K94" s="76"/>
      <c r="L94" s="80"/>
      <c r="M94" s="76"/>
      <c r="N94" s="76"/>
      <c r="O94" s="76"/>
      <c r="P94" s="76"/>
      <c r="Q94" s="76">
        <f t="shared" si="12"/>
        <v>935000</v>
      </c>
      <c r="R94" s="13"/>
      <c r="S94" s="13"/>
      <c r="T94" s="13"/>
    </row>
    <row r="95" spans="1:20" s="43" customFormat="1" ht="48">
      <c r="A95" s="15" t="s">
        <v>290</v>
      </c>
      <c r="B95" s="15" t="s">
        <v>291</v>
      </c>
      <c r="C95" s="15" t="s">
        <v>35</v>
      </c>
      <c r="D95" s="11" t="s">
        <v>292</v>
      </c>
      <c r="E95" s="76">
        <f t="shared" si="11"/>
        <v>50000</v>
      </c>
      <c r="F95" s="76">
        <f>50000</f>
        <v>50000</v>
      </c>
      <c r="G95" s="76"/>
      <c r="H95" s="76"/>
      <c r="I95" s="76"/>
      <c r="J95" s="76"/>
      <c r="K95" s="76"/>
      <c r="L95" s="80"/>
      <c r="M95" s="76"/>
      <c r="N95" s="76"/>
      <c r="O95" s="76"/>
      <c r="P95" s="76"/>
      <c r="Q95" s="76">
        <f t="shared" si="12"/>
        <v>50000</v>
      </c>
      <c r="R95" s="13"/>
      <c r="S95" s="13"/>
      <c r="T95" s="13"/>
    </row>
    <row r="96" spans="1:20" s="43" customFormat="1" ht="32.25">
      <c r="A96" s="15" t="s">
        <v>297</v>
      </c>
      <c r="B96" s="15" t="s">
        <v>293</v>
      </c>
      <c r="C96" s="15" t="s">
        <v>22</v>
      </c>
      <c r="D96" s="11" t="s">
        <v>294</v>
      </c>
      <c r="E96" s="76">
        <f t="shared" si="11"/>
        <v>23978700</v>
      </c>
      <c r="F96" s="76">
        <v>23978700</v>
      </c>
      <c r="G96" s="76"/>
      <c r="H96" s="76"/>
      <c r="I96" s="76"/>
      <c r="J96" s="76"/>
      <c r="K96" s="76"/>
      <c r="L96" s="80"/>
      <c r="M96" s="76"/>
      <c r="N96" s="76"/>
      <c r="O96" s="76"/>
      <c r="P96" s="76"/>
      <c r="Q96" s="76">
        <f>E96+J96</f>
        <v>23978700</v>
      </c>
      <c r="R96" s="13"/>
      <c r="S96" s="13"/>
      <c r="T96" s="13"/>
    </row>
    <row r="97" spans="1:20" s="38" customFormat="1" ht="32.25">
      <c r="A97" s="17" t="s">
        <v>139</v>
      </c>
      <c r="B97" s="17"/>
      <c r="C97" s="17"/>
      <c r="D97" s="18" t="s">
        <v>10</v>
      </c>
      <c r="E97" s="74">
        <f>E98</f>
        <v>29812600</v>
      </c>
      <c r="F97" s="74">
        <f>F98</f>
        <v>29812600</v>
      </c>
      <c r="G97" s="74">
        <f t="shared" ref="G97:Q97" si="13">G98</f>
        <v>25399600</v>
      </c>
      <c r="H97" s="74">
        <f t="shared" si="13"/>
        <v>1924300</v>
      </c>
      <c r="I97" s="74">
        <f t="shared" si="13"/>
        <v>0</v>
      </c>
      <c r="J97" s="74">
        <f>J98</f>
        <v>11293200</v>
      </c>
      <c r="K97" s="74">
        <f t="shared" si="13"/>
        <v>10151100</v>
      </c>
      <c r="L97" s="75">
        <f t="shared" si="13"/>
        <v>10151100</v>
      </c>
      <c r="M97" s="74">
        <f t="shared" si="13"/>
        <v>1092100</v>
      </c>
      <c r="N97" s="74">
        <f t="shared" si="13"/>
        <v>258500</v>
      </c>
      <c r="O97" s="74">
        <f t="shared" si="13"/>
        <v>0</v>
      </c>
      <c r="P97" s="74">
        <f t="shared" si="13"/>
        <v>10201100</v>
      </c>
      <c r="Q97" s="74">
        <f t="shared" si="13"/>
        <v>41105800</v>
      </c>
    </row>
    <row r="98" spans="1:20" s="13" customFormat="1" ht="32.25">
      <c r="A98" s="15" t="s">
        <v>140</v>
      </c>
      <c r="B98" s="15"/>
      <c r="C98" s="15"/>
      <c r="D98" s="18" t="s">
        <v>10</v>
      </c>
      <c r="E98" s="74">
        <f>E99+E101+E102+E103+E100+E104+E105</f>
        <v>29812600</v>
      </c>
      <c r="F98" s="74">
        <f>F99+F101+F102+F103+F100+F104+F105</f>
        <v>29812600</v>
      </c>
      <c r="G98" s="74">
        <f>G99+G101+G102+G103+G100+G104+G105</f>
        <v>25399600</v>
      </c>
      <c r="H98" s="74">
        <f>H99+H101+H102+H103+H100+H104+H105</f>
        <v>1924300</v>
      </c>
      <c r="I98" s="74">
        <f>I99+I101+I102+I103+I100+I104+I105</f>
        <v>0</v>
      </c>
      <c r="J98" s="74">
        <f>M98+P98</f>
        <v>11293200</v>
      </c>
      <c r="K98" s="74">
        <f t="shared" ref="K98:P98" si="14">K99+K101+K102+K103+K100+K104+K105+K106</f>
        <v>10151100</v>
      </c>
      <c r="L98" s="75">
        <f t="shared" si="14"/>
        <v>10151100</v>
      </c>
      <c r="M98" s="74">
        <f t="shared" si="14"/>
        <v>1092100</v>
      </c>
      <c r="N98" s="74">
        <f t="shared" si="14"/>
        <v>258500</v>
      </c>
      <c r="O98" s="74">
        <f t="shared" si="14"/>
        <v>0</v>
      </c>
      <c r="P98" s="74">
        <f t="shared" si="14"/>
        <v>10201100</v>
      </c>
      <c r="Q98" s="74">
        <f t="shared" ref="Q98:Q118" si="15">E98+J98</f>
        <v>41105800</v>
      </c>
    </row>
    <row r="99" spans="1:20" s="13" customFormat="1" ht="48">
      <c r="A99" s="15" t="s">
        <v>141</v>
      </c>
      <c r="B99" s="15" t="s">
        <v>110</v>
      </c>
      <c r="C99" s="15" t="s">
        <v>21</v>
      </c>
      <c r="D99" s="14" t="s">
        <v>112</v>
      </c>
      <c r="E99" s="76">
        <f>F99+I99</f>
        <v>530700</v>
      </c>
      <c r="F99" s="76">
        <f>490700+32800+7200</f>
        <v>530700</v>
      </c>
      <c r="G99" s="76">
        <f>480100+32800+7200</f>
        <v>520100</v>
      </c>
      <c r="H99" s="76"/>
      <c r="I99" s="76"/>
      <c r="J99" s="74"/>
      <c r="K99" s="76"/>
      <c r="L99" s="80"/>
      <c r="M99" s="76"/>
      <c r="N99" s="76"/>
      <c r="O99" s="76"/>
      <c r="P99" s="76"/>
      <c r="Q99" s="76">
        <f t="shared" si="15"/>
        <v>530700</v>
      </c>
    </row>
    <row r="100" spans="1:20" s="13" customFormat="1" ht="63.75">
      <c r="A100" s="15" t="s">
        <v>151</v>
      </c>
      <c r="B100" s="15" t="s">
        <v>150</v>
      </c>
      <c r="C100" s="15" t="s">
        <v>38</v>
      </c>
      <c r="D100" s="14" t="s">
        <v>152</v>
      </c>
      <c r="E100" s="76">
        <f t="shared" ref="E100:E105" si="16">F100+I100</f>
        <v>13936500</v>
      </c>
      <c r="F100" s="76">
        <f>13936500+25000-25000</f>
        <v>13936500</v>
      </c>
      <c r="G100" s="76">
        <v>13388800</v>
      </c>
      <c r="H100" s="76">
        <v>341000</v>
      </c>
      <c r="I100" s="76"/>
      <c r="J100" s="76">
        <f>M100+P100</f>
        <v>889500</v>
      </c>
      <c r="K100" s="83"/>
      <c r="L100" s="84"/>
      <c r="M100" s="83">
        <v>839500</v>
      </c>
      <c r="N100" s="83">
        <f>186900+41100</f>
        <v>228000</v>
      </c>
      <c r="O100" s="83"/>
      <c r="P100" s="83">
        <v>50000</v>
      </c>
      <c r="Q100" s="76">
        <f t="shared" si="15"/>
        <v>14826000</v>
      </c>
    </row>
    <row r="101" spans="1:20" s="13" customFormat="1" ht="18.75">
      <c r="A101" s="15" t="s">
        <v>143</v>
      </c>
      <c r="B101" s="15" t="s">
        <v>142</v>
      </c>
      <c r="C101" s="15" t="s">
        <v>83</v>
      </c>
      <c r="D101" s="11" t="s">
        <v>144</v>
      </c>
      <c r="E101" s="76">
        <f t="shared" si="16"/>
        <v>5059800</v>
      </c>
      <c r="F101" s="83">
        <f>5109800+25000-75000</f>
        <v>5059800</v>
      </c>
      <c r="G101" s="83">
        <v>4075800</v>
      </c>
      <c r="H101" s="83">
        <v>588500</v>
      </c>
      <c r="I101" s="83"/>
      <c r="J101" s="76">
        <f t="shared" ref="J101:J107" si="17">M101+P101</f>
        <v>1795200</v>
      </c>
      <c r="K101" s="83">
        <v>1738200</v>
      </c>
      <c r="L101" s="84">
        <v>1738200</v>
      </c>
      <c r="M101" s="83">
        <v>57000</v>
      </c>
      <c r="N101" s="83"/>
      <c r="O101" s="83"/>
      <c r="P101" s="83">
        <v>1738200</v>
      </c>
      <c r="Q101" s="83">
        <f t="shared" si="15"/>
        <v>6855000</v>
      </c>
    </row>
    <row r="102" spans="1:20" s="13" customFormat="1" ht="18.75">
      <c r="A102" s="15" t="s">
        <v>146</v>
      </c>
      <c r="B102" s="15" t="s">
        <v>145</v>
      </c>
      <c r="C102" s="15" t="s">
        <v>83</v>
      </c>
      <c r="D102" s="11" t="s">
        <v>147</v>
      </c>
      <c r="E102" s="76">
        <f t="shared" si="16"/>
        <v>1684600</v>
      </c>
      <c r="F102" s="83">
        <f>1714100+25000-54500</f>
        <v>1684600</v>
      </c>
      <c r="G102" s="83">
        <v>1296900</v>
      </c>
      <c r="H102" s="83">
        <v>240100</v>
      </c>
      <c r="I102" s="83"/>
      <c r="J102" s="76">
        <f t="shared" si="17"/>
        <v>126000</v>
      </c>
      <c r="K102" s="83">
        <v>94500</v>
      </c>
      <c r="L102" s="84">
        <v>94500</v>
      </c>
      <c r="M102" s="83">
        <v>31500</v>
      </c>
      <c r="N102" s="83"/>
      <c r="O102" s="83"/>
      <c r="P102" s="83">
        <v>94500</v>
      </c>
      <c r="Q102" s="83">
        <f t="shared" si="15"/>
        <v>1810600</v>
      </c>
    </row>
    <row r="103" spans="1:20" s="13" customFormat="1" ht="48">
      <c r="A103" s="15" t="s">
        <v>148</v>
      </c>
      <c r="B103" s="15" t="s">
        <v>82</v>
      </c>
      <c r="C103" s="15" t="s">
        <v>84</v>
      </c>
      <c r="D103" s="11" t="s">
        <v>149</v>
      </c>
      <c r="E103" s="76">
        <f>F103+I103</f>
        <v>6379200</v>
      </c>
      <c r="F103" s="83">
        <f>6499200+25000-145000</f>
        <v>6379200</v>
      </c>
      <c r="G103" s="83">
        <v>5102000</v>
      </c>
      <c r="H103" s="83">
        <v>722900</v>
      </c>
      <c r="I103" s="83"/>
      <c r="J103" s="76">
        <f t="shared" si="17"/>
        <v>618800</v>
      </c>
      <c r="K103" s="83">
        <v>454700</v>
      </c>
      <c r="L103" s="84">
        <v>454700</v>
      </c>
      <c r="M103" s="83">
        <v>164100</v>
      </c>
      <c r="N103" s="83">
        <f>25000+5500</f>
        <v>30500</v>
      </c>
      <c r="O103" s="83"/>
      <c r="P103" s="83">
        <v>454700</v>
      </c>
      <c r="Q103" s="83">
        <f t="shared" si="15"/>
        <v>6998000</v>
      </c>
    </row>
    <row r="104" spans="1:20" s="43" customFormat="1" ht="32.25">
      <c r="A104" s="15" t="s">
        <v>298</v>
      </c>
      <c r="B104" s="15" t="s">
        <v>263</v>
      </c>
      <c r="C104" s="15" t="s">
        <v>85</v>
      </c>
      <c r="D104" s="11" t="s">
        <v>264</v>
      </c>
      <c r="E104" s="76">
        <f t="shared" si="16"/>
        <v>1115800</v>
      </c>
      <c r="F104" s="83">
        <v>1115800</v>
      </c>
      <c r="G104" s="83">
        <v>1016000</v>
      </c>
      <c r="H104" s="83">
        <v>31800</v>
      </c>
      <c r="I104" s="83"/>
      <c r="J104" s="76">
        <f t="shared" si="17"/>
        <v>0</v>
      </c>
      <c r="K104" s="83"/>
      <c r="L104" s="84"/>
      <c r="M104" s="83"/>
      <c r="N104" s="83"/>
      <c r="O104" s="83"/>
      <c r="P104" s="83"/>
      <c r="Q104" s="83">
        <f t="shared" si="15"/>
        <v>1115800</v>
      </c>
      <c r="R104" s="13"/>
      <c r="S104" s="13"/>
      <c r="T104" s="13"/>
    </row>
    <row r="105" spans="1:20" s="13" customFormat="1" ht="18.75">
      <c r="A105" s="15" t="s">
        <v>261</v>
      </c>
      <c r="B105" s="15" t="s">
        <v>262</v>
      </c>
      <c r="C105" s="15" t="s">
        <v>85</v>
      </c>
      <c r="D105" s="11" t="s">
        <v>265</v>
      </c>
      <c r="E105" s="76">
        <f t="shared" si="16"/>
        <v>1106000</v>
      </c>
      <c r="F105" s="83">
        <v>1106000</v>
      </c>
      <c r="G105" s="83"/>
      <c r="H105" s="83"/>
      <c r="I105" s="83"/>
      <c r="J105" s="76">
        <f t="shared" si="17"/>
        <v>0</v>
      </c>
      <c r="K105" s="83"/>
      <c r="L105" s="84"/>
      <c r="M105" s="83"/>
      <c r="N105" s="83"/>
      <c r="O105" s="83"/>
      <c r="P105" s="83"/>
      <c r="Q105" s="83">
        <f t="shared" si="15"/>
        <v>1106000</v>
      </c>
    </row>
    <row r="106" spans="1:20" s="13" customFormat="1" ht="32.25">
      <c r="A106" s="15" t="s">
        <v>383</v>
      </c>
      <c r="B106" s="15" t="s">
        <v>266</v>
      </c>
      <c r="C106" s="15" t="s">
        <v>46</v>
      </c>
      <c r="D106" s="14" t="s">
        <v>233</v>
      </c>
      <c r="E106" s="76"/>
      <c r="F106" s="83"/>
      <c r="G106" s="83"/>
      <c r="H106" s="83"/>
      <c r="I106" s="83"/>
      <c r="J106" s="76">
        <f t="shared" si="17"/>
        <v>7863700</v>
      </c>
      <c r="K106" s="83">
        <f>10000000-2136300</f>
        <v>7863700</v>
      </c>
      <c r="L106" s="84">
        <f>10000000-2136300</f>
        <v>7863700</v>
      </c>
      <c r="M106" s="83"/>
      <c r="N106" s="83"/>
      <c r="O106" s="83"/>
      <c r="P106" s="83">
        <f>10000000-2136300</f>
        <v>7863700</v>
      </c>
      <c r="Q106" s="83">
        <f t="shared" si="15"/>
        <v>7863700</v>
      </c>
    </row>
    <row r="107" spans="1:20" s="41" customFormat="1" ht="18.75">
      <c r="A107" s="23"/>
      <c r="B107" s="23"/>
      <c r="C107" s="23"/>
      <c r="D107" s="36" t="s">
        <v>384</v>
      </c>
      <c r="E107" s="78"/>
      <c r="F107" s="85"/>
      <c r="G107" s="85"/>
      <c r="H107" s="85"/>
      <c r="I107" s="85"/>
      <c r="J107" s="78">
        <f t="shared" si="17"/>
        <v>5863700</v>
      </c>
      <c r="K107" s="85">
        <f>8000000-2136300</f>
        <v>5863700</v>
      </c>
      <c r="L107" s="86">
        <f>8000000-2136300</f>
        <v>5863700</v>
      </c>
      <c r="M107" s="85"/>
      <c r="N107" s="85"/>
      <c r="O107" s="85"/>
      <c r="P107" s="85">
        <f>8000000-2136300</f>
        <v>5863700</v>
      </c>
      <c r="Q107" s="85">
        <f t="shared" si="15"/>
        <v>5863700</v>
      </c>
    </row>
    <row r="108" spans="1:20" s="43" customFormat="1" ht="33.75" customHeight="1">
      <c r="A108" s="17" t="s">
        <v>47</v>
      </c>
      <c r="B108" s="17"/>
      <c r="C108" s="17"/>
      <c r="D108" s="18" t="s">
        <v>13</v>
      </c>
      <c r="E108" s="89">
        <f t="shared" ref="E108:P108" si="18">E109</f>
        <v>4352400</v>
      </c>
      <c r="F108" s="89">
        <f t="shared" si="18"/>
        <v>4352400</v>
      </c>
      <c r="G108" s="89">
        <f t="shared" si="18"/>
        <v>1186300</v>
      </c>
      <c r="H108" s="89">
        <f t="shared" si="18"/>
        <v>0</v>
      </c>
      <c r="I108" s="89">
        <f t="shared" si="18"/>
        <v>0</v>
      </c>
      <c r="J108" s="89">
        <f t="shared" si="18"/>
        <v>10000</v>
      </c>
      <c r="K108" s="89">
        <f t="shared" si="18"/>
        <v>10000</v>
      </c>
      <c r="L108" s="90">
        <f t="shared" si="18"/>
        <v>10000</v>
      </c>
      <c r="M108" s="89">
        <f t="shared" si="18"/>
        <v>0</v>
      </c>
      <c r="N108" s="89">
        <f t="shared" si="18"/>
        <v>0</v>
      </c>
      <c r="O108" s="89">
        <f t="shared" si="18"/>
        <v>0</v>
      </c>
      <c r="P108" s="89">
        <f t="shared" si="18"/>
        <v>10000</v>
      </c>
      <c r="Q108" s="74">
        <f t="shared" si="15"/>
        <v>4362400</v>
      </c>
      <c r="R108" s="13"/>
      <c r="S108" s="13"/>
      <c r="T108" s="13"/>
    </row>
    <row r="109" spans="1:20" s="43" customFormat="1" ht="36" customHeight="1">
      <c r="A109" s="17" t="s">
        <v>48</v>
      </c>
      <c r="B109" s="17"/>
      <c r="C109" s="17"/>
      <c r="D109" s="18" t="s">
        <v>13</v>
      </c>
      <c r="E109" s="74">
        <f>E110+E112+E113+E114+E115+E116+E117+E111</f>
        <v>4352400</v>
      </c>
      <c r="F109" s="74">
        <f>F110+F112+F113+F114+F115+F116+F117+F111</f>
        <v>4352400</v>
      </c>
      <c r="G109" s="74">
        <f t="shared" ref="G109:P109" si="19">G110+G112+G113+G115+G116+G117+G111</f>
        <v>1186300</v>
      </c>
      <c r="H109" s="74">
        <f t="shared" si="19"/>
        <v>0</v>
      </c>
      <c r="I109" s="74">
        <f t="shared" si="19"/>
        <v>0</v>
      </c>
      <c r="J109" s="74">
        <f>M109+P109</f>
        <v>10000</v>
      </c>
      <c r="K109" s="74">
        <f>K110+K112+K113+K115+K116+K117+K111</f>
        <v>10000</v>
      </c>
      <c r="L109" s="75">
        <f>L110+L112+L113+L115+L116+L117+L111</f>
        <v>10000</v>
      </c>
      <c r="M109" s="74">
        <f t="shared" si="19"/>
        <v>0</v>
      </c>
      <c r="N109" s="74">
        <f t="shared" si="19"/>
        <v>0</v>
      </c>
      <c r="O109" s="74">
        <f t="shared" si="19"/>
        <v>0</v>
      </c>
      <c r="P109" s="74">
        <f t="shared" si="19"/>
        <v>10000</v>
      </c>
      <c r="Q109" s="74">
        <f t="shared" si="15"/>
        <v>4362400</v>
      </c>
      <c r="R109" s="13"/>
      <c r="S109" s="13"/>
      <c r="T109" s="13"/>
    </row>
    <row r="110" spans="1:20" s="43" customFormat="1" ht="48">
      <c r="A110" s="15" t="s">
        <v>153</v>
      </c>
      <c r="B110" s="15" t="s">
        <v>110</v>
      </c>
      <c r="C110" s="15" t="s">
        <v>21</v>
      </c>
      <c r="D110" s="14" t="s">
        <v>112</v>
      </c>
      <c r="E110" s="76">
        <f>F110+I110</f>
        <v>1221600</v>
      </c>
      <c r="F110" s="76">
        <f>1379000+74600+16700-248700</f>
        <v>1221600</v>
      </c>
      <c r="G110" s="76">
        <f>1095000+74600+16700</f>
        <v>1186300</v>
      </c>
      <c r="H110" s="76"/>
      <c r="I110" s="76"/>
      <c r="J110" s="83">
        <f>M110+P110</f>
        <v>10000</v>
      </c>
      <c r="K110" s="76">
        <v>10000</v>
      </c>
      <c r="L110" s="80">
        <v>10000</v>
      </c>
      <c r="M110" s="74"/>
      <c r="N110" s="74"/>
      <c r="O110" s="74"/>
      <c r="P110" s="76">
        <v>10000</v>
      </c>
      <c r="Q110" s="76">
        <f t="shared" si="15"/>
        <v>1231600</v>
      </c>
      <c r="R110" s="13"/>
      <c r="S110" s="13"/>
      <c r="T110" s="13"/>
    </row>
    <row r="111" spans="1:20" s="43" customFormat="1" ht="18.75">
      <c r="A111" s="15" t="s">
        <v>155</v>
      </c>
      <c r="B111" s="15" t="s">
        <v>154</v>
      </c>
      <c r="C111" s="15" t="s">
        <v>42</v>
      </c>
      <c r="D111" s="11" t="s">
        <v>51</v>
      </c>
      <c r="E111" s="76">
        <f t="shared" ref="E111:E117" si="20">F111+I111</f>
        <v>270900</v>
      </c>
      <c r="F111" s="76">
        <v>270900</v>
      </c>
      <c r="G111" s="76"/>
      <c r="H111" s="76"/>
      <c r="I111" s="76"/>
      <c r="J111" s="83"/>
      <c r="K111" s="76"/>
      <c r="L111" s="80"/>
      <c r="M111" s="74"/>
      <c r="N111" s="74"/>
      <c r="O111" s="74"/>
      <c r="P111" s="76"/>
      <c r="Q111" s="76">
        <f t="shared" si="15"/>
        <v>270900</v>
      </c>
      <c r="R111" s="13"/>
      <c r="S111" s="13"/>
      <c r="T111" s="13"/>
    </row>
    <row r="112" spans="1:20" s="43" customFormat="1" ht="18.75">
      <c r="A112" s="15" t="s">
        <v>157</v>
      </c>
      <c r="B112" s="15" t="s">
        <v>156</v>
      </c>
      <c r="C112" s="15" t="s">
        <v>42</v>
      </c>
      <c r="D112" s="11" t="s">
        <v>97</v>
      </c>
      <c r="E112" s="76">
        <f t="shared" si="20"/>
        <v>554400</v>
      </c>
      <c r="F112" s="76">
        <v>554400</v>
      </c>
      <c r="G112" s="76"/>
      <c r="H112" s="76"/>
      <c r="I112" s="76"/>
      <c r="J112" s="76"/>
      <c r="K112" s="76"/>
      <c r="L112" s="80"/>
      <c r="M112" s="76"/>
      <c r="N112" s="76"/>
      <c r="O112" s="76"/>
      <c r="P112" s="76"/>
      <c r="Q112" s="76">
        <f t="shared" si="15"/>
        <v>554400</v>
      </c>
      <c r="R112" s="13"/>
      <c r="S112" s="13"/>
      <c r="T112" s="13"/>
    </row>
    <row r="113" spans="1:20" s="43" customFormat="1" ht="79.5">
      <c r="A113" s="15" t="s">
        <v>50</v>
      </c>
      <c r="B113" s="15" t="s">
        <v>49</v>
      </c>
      <c r="C113" s="15" t="s">
        <v>42</v>
      </c>
      <c r="D113" s="11" t="s">
        <v>43</v>
      </c>
      <c r="E113" s="76">
        <f t="shared" si="20"/>
        <v>199200</v>
      </c>
      <c r="F113" s="76">
        <f>307400-108200</f>
        <v>199200</v>
      </c>
      <c r="G113" s="76"/>
      <c r="H113" s="76"/>
      <c r="I113" s="76"/>
      <c r="J113" s="76"/>
      <c r="K113" s="76"/>
      <c r="L113" s="80"/>
      <c r="M113" s="76"/>
      <c r="N113" s="76"/>
      <c r="O113" s="76"/>
      <c r="P113" s="76"/>
      <c r="Q113" s="76">
        <f t="shared" si="15"/>
        <v>199200</v>
      </c>
      <c r="R113" s="13"/>
      <c r="S113" s="13"/>
      <c r="T113" s="13"/>
    </row>
    <row r="114" spans="1:20" s="43" customFormat="1" ht="32.25">
      <c r="A114" s="15" t="s">
        <v>385</v>
      </c>
      <c r="B114" s="15" t="s">
        <v>293</v>
      </c>
      <c r="C114" s="15" t="s">
        <v>22</v>
      </c>
      <c r="D114" s="11" t="s">
        <v>294</v>
      </c>
      <c r="E114" s="76">
        <f t="shared" si="20"/>
        <v>108200</v>
      </c>
      <c r="F114" s="76">
        <v>108200</v>
      </c>
      <c r="G114" s="76"/>
      <c r="H114" s="76"/>
      <c r="I114" s="76"/>
      <c r="J114" s="76"/>
      <c r="K114" s="76"/>
      <c r="L114" s="80"/>
      <c r="M114" s="76"/>
      <c r="N114" s="76"/>
      <c r="O114" s="76"/>
      <c r="P114" s="76"/>
      <c r="Q114" s="76">
        <f t="shared" si="15"/>
        <v>108200</v>
      </c>
      <c r="R114" s="13"/>
      <c r="S114" s="13"/>
      <c r="T114" s="13"/>
    </row>
    <row r="115" spans="1:20" s="43" customFormat="1" ht="32.25">
      <c r="A115" s="15" t="s">
        <v>53</v>
      </c>
      <c r="B115" s="15" t="s">
        <v>52</v>
      </c>
      <c r="C115" s="15" t="s">
        <v>44</v>
      </c>
      <c r="D115" s="11" t="s">
        <v>90</v>
      </c>
      <c r="E115" s="76">
        <f t="shared" si="20"/>
        <v>560000</v>
      </c>
      <c r="F115" s="76">
        <f>263300+296700</f>
        <v>560000</v>
      </c>
      <c r="G115" s="76"/>
      <c r="H115" s="76"/>
      <c r="I115" s="76"/>
      <c r="J115" s="76"/>
      <c r="K115" s="76"/>
      <c r="L115" s="80"/>
      <c r="M115" s="76"/>
      <c r="N115" s="76"/>
      <c r="O115" s="76"/>
      <c r="P115" s="76"/>
      <c r="Q115" s="76">
        <f t="shared" si="15"/>
        <v>560000</v>
      </c>
      <c r="R115" s="13"/>
      <c r="S115" s="13"/>
      <c r="T115" s="13"/>
    </row>
    <row r="116" spans="1:20" s="43" customFormat="1" ht="32.25">
      <c r="A116" s="15" t="s">
        <v>92</v>
      </c>
      <c r="B116" s="15" t="s">
        <v>93</v>
      </c>
      <c r="C116" s="15" t="s">
        <v>44</v>
      </c>
      <c r="D116" s="11" t="s">
        <v>94</v>
      </c>
      <c r="E116" s="76">
        <f t="shared" si="20"/>
        <v>300000</v>
      </c>
      <c r="F116" s="76">
        <f>190000+110000</f>
        <v>300000</v>
      </c>
      <c r="G116" s="76"/>
      <c r="H116" s="76"/>
      <c r="I116" s="76"/>
      <c r="J116" s="76"/>
      <c r="K116" s="76"/>
      <c r="L116" s="80"/>
      <c r="M116" s="76"/>
      <c r="N116" s="76"/>
      <c r="O116" s="76"/>
      <c r="P116" s="76"/>
      <c r="Q116" s="76">
        <f t="shared" si="15"/>
        <v>300000</v>
      </c>
      <c r="R116" s="13"/>
      <c r="S116" s="13"/>
      <c r="T116" s="13"/>
    </row>
    <row r="117" spans="1:20" s="43" customFormat="1" ht="63.75">
      <c r="A117" s="15" t="s">
        <v>98</v>
      </c>
      <c r="B117" s="15" t="s">
        <v>99</v>
      </c>
      <c r="C117" s="15" t="s">
        <v>44</v>
      </c>
      <c r="D117" s="14" t="s">
        <v>100</v>
      </c>
      <c r="E117" s="76">
        <f t="shared" si="20"/>
        <v>1138100</v>
      </c>
      <c r="F117" s="76">
        <f>544800+593300</f>
        <v>1138100</v>
      </c>
      <c r="G117" s="76"/>
      <c r="H117" s="76"/>
      <c r="I117" s="76"/>
      <c r="J117" s="76"/>
      <c r="K117" s="76"/>
      <c r="L117" s="80"/>
      <c r="M117" s="76"/>
      <c r="N117" s="76"/>
      <c r="O117" s="76"/>
      <c r="P117" s="76"/>
      <c r="Q117" s="76">
        <f t="shared" si="15"/>
        <v>1138100</v>
      </c>
      <c r="R117" s="13"/>
      <c r="S117" s="13"/>
      <c r="T117" s="13"/>
    </row>
    <row r="118" spans="1:20" s="42" customFormat="1" ht="48">
      <c r="A118" s="17" t="s">
        <v>158</v>
      </c>
      <c r="B118" s="17"/>
      <c r="C118" s="17"/>
      <c r="D118" s="18" t="s">
        <v>16</v>
      </c>
      <c r="E118" s="89">
        <f>E119</f>
        <v>67639700</v>
      </c>
      <c r="F118" s="89">
        <f>F119</f>
        <v>67639700</v>
      </c>
      <c r="G118" s="89">
        <f t="shared" ref="G118:P118" si="21">G119</f>
        <v>1541200</v>
      </c>
      <c r="H118" s="89">
        <f t="shared" si="21"/>
        <v>0</v>
      </c>
      <c r="I118" s="89">
        <f t="shared" si="21"/>
        <v>0</v>
      </c>
      <c r="J118" s="89">
        <f t="shared" si="21"/>
        <v>72169600</v>
      </c>
      <c r="K118" s="89">
        <f t="shared" si="21"/>
        <v>71769600</v>
      </c>
      <c r="L118" s="90">
        <f t="shared" si="21"/>
        <v>63469600</v>
      </c>
      <c r="M118" s="89">
        <f t="shared" si="21"/>
        <v>400000</v>
      </c>
      <c r="N118" s="89">
        <f t="shared" si="21"/>
        <v>0</v>
      </c>
      <c r="O118" s="89">
        <f t="shared" si="21"/>
        <v>0</v>
      </c>
      <c r="P118" s="89">
        <f t="shared" si="21"/>
        <v>71769600</v>
      </c>
      <c r="Q118" s="89">
        <f t="shared" si="15"/>
        <v>139809300</v>
      </c>
      <c r="R118" s="38"/>
      <c r="S118" s="38"/>
      <c r="T118" s="38"/>
    </row>
    <row r="119" spans="1:20" s="43" customFormat="1" ht="48">
      <c r="A119" s="17" t="s">
        <v>159</v>
      </c>
      <c r="B119" s="15"/>
      <c r="C119" s="15"/>
      <c r="D119" s="18" t="s">
        <v>16</v>
      </c>
      <c r="E119" s="74">
        <f>E120+E122+E123+E124+E126+E127+E128+E129+E130+E131+E133+E134+E135+E137+E138+E121</f>
        <v>67639700</v>
      </c>
      <c r="F119" s="74">
        <f>F120+F122+F123+F124+F126+F127+F128+F129+F130+F131+F133+F134+F135+F137+F138+F121</f>
        <v>67639700</v>
      </c>
      <c r="G119" s="74">
        <f t="shared" ref="G119:M119" si="22">G120+G122+G123+G124+G126+G127+G128+G129+G130+G131+G133+G134+G135+G137+G138+G121</f>
        <v>1541200</v>
      </c>
      <c r="H119" s="74">
        <f t="shared" si="22"/>
        <v>0</v>
      </c>
      <c r="I119" s="74">
        <f t="shared" si="22"/>
        <v>0</v>
      </c>
      <c r="J119" s="74">
        <f t="shared" si="22"/>
        <v>72169600</v>
      </c>
      <c r="K119" s="74">
        <f t="shared" si="22"/>
        <v>71769600</v>
      </c>
      <c r="L119" s="75">
        <f>L120+L122+L123+L124+L126+L127+L128+L129+L130+L131+L133+L134+L135+L137+L138+L121</f>
        <v>63469600</v>
      </c>
      <c r="M119" s="74">
        <f t="shared" si="22"/>
        <v>400000</v>
      </c>
      <c r="N119" s="74">
        <f>N120+N122+N123+N124+N126+N127+N128+N129+N130+N131+N133+N134+N135+N137+N138+N121</f>
        <v>0</v>
      </c>
      <c r="O119" s="74">
        <f>O120+O122+O123+O124+O126+O127+O128+O129+O130+O131+O133+O134+O135+O137+O138+O121</f>
        <v>0</v>
      </c>
      <c r="P119" s="74">
        <f>P120+P122+P123+P124+P126+P127+P128+P129+P130+P131+P133+P134+P135+P137+P138+P121</f>
        <v>71769600</v>
      </c>
      <c r="Q119" s="89">
        <f>E119+J119</f>
        <v>139809300</v>
      </c>
      <c r="R119" s="13"/>
      <c r="S119" s="13"/>
      <c r="T119" s="13"/>
    </row>
    <row r="120" spans="1:20" s="43" customFormat="1" ht="48">
      <c r="A120" s="15" t="s">
        <v>160</v>
      </c>
      <c r="B120" s="15" t="s">
        <v>110</v>
      </c>
      <c r="C120" s="15" t="s">
        <v>21</v>
      </c>
      <c r="D120" s="14" t="s">
        <v>112</v>
      </c>
      <c r="E120" s="76">
        <f>F120+I120</f>
        <v>1688300</v>
      </c>
      <c r="F120" s="76">
        <f>1650500+97200+21400+5000-85800</f>
        <v>1688300</v>
      </c>
      <c r="G120" s="76">
        <f>1422600+97200+21400</f>
        <v>1541200</v>
      </c>
      <c r="H120" s="76"/>
      <c r="I120" s="76"/>
      <c r="J120" s="76">
        <f t="shared" ref="J120:J138" si="23">M120+P120</f>
        <v>14000</v>
      </c>
      <c r="K120" s="76">
        <f>10000+4000</f>
        <v>14000</v>
      </c>
      <c r="L120" s="80">
        <f>10000+4000</f>
        <v>14000</v>
      </c>
      <c r="M120" s="76"/>
      <c r="N120" s="76"/>
      <c r="O120" s="76"/>
      <c r="P120" s="76">
        <f>10000+4000</f>
        <v>14000</v>
      </c>
      <c r="Q120" s="76">
        <f>E120+J120</f>
        <v>1702300</v>
      </c>
      <c r="R120" s="13"/>
      <c r="S120" s="13"/>
      <c r="T120" s="13"/>
    </row>
    <row r="121" spans="1:20" s="91" customFormat="1" ht="32.25">
      <c r="A121" s="15" t="s">
        <v>386</v>
      </c>
      <c r="B121" s="15" t="s">
        <v>213</v>
      </c>
      <c r="C121" s="15" t="s">
        <v>214</v>
      </c>
      <c r="D121" s="14" t="s">
        <v>215</v>
      </c>
      <c r="E121" s="76">
        <f t="shared" ref="E121:E138" si="24">F121+I121</f>
        <v>6000</v>
      </c>
      <c r="F121" s="76">
        <v>6000</v>
      </c>
      <c r="G121" s="76"/>
      <c r="H121" s="76"/>
      <c r="I121" s="76"/>
      <c r="J121" s="76">
        <f t="shared" si="23"/>
        <v>0</v>
      </c>
      <c r="K121" s="76"/>
      <c r="L121" s="80"/>
      <c r="M121" s="76"/>
      <c r="N121" s="76"/>
      <c r="O121" s="76"/>
      <c r="P121" s="76"/>
      <c r="Q121" s="76">
        <f>E121+J121</f>
        <v>6000</v>
      </c>
      <c r="R121" s="4"/>
      <c r="S121" s="4"/>
      <c r="T121" s="4"/>
    </row>
    <row r="122" spans="1:20" s="43" customFormat="1" ht="18.75">
      <c r="A122" s="15" t="s">
        <v>276</v>
      </c>
      <c r="B122" s="15" t="s">
        <v>275</v>
      </c>
      <c r="C122" s="15" t="s">
        <v>227</v>
      </c>
      <c r="D122" s="14" t="s">
        <v>228</v>
      </c>
      <c r="E122" s="76">
        <f t="shared" si="24"/>
        <v>50000</v>
      </c>
      <c r="F122" s="76">
        <v>50000</v>
      </c>
      <c r="G122" s="76"/>
      <c r="H122" s="76"/>
      <c r="I122" s="76"/>
      <c r="J122" s="74"/>
      <c r="K122" s="76"/>
      <c r="L122" s="80"/>
      <c r="M122" s="76"/>
      <c r="N122" s="76"/>
      <c r="O122" s="76"/>
      <c r="P122" s="76"/>
      <c r="Q122" s="76">
        <f>E122+J122</f>
        <v>50000</v>
      </c>
      <c r="R122" s="13"/>
      <c r="S122" s="13"/>
      <c r="T122" s="13"/>
    </row>
    <row r="123" spans="1:20" s="43" customFormat="1" ht="32.25">
      <c r="A123" s="15" t="s">
        <v>176</v>
      </c>
      <c r="B123" s="15" t="s">
        <v>175</v>
      </c>
      <c r="C123" s="15" t="s">
        <v>86</v>
      </c>
      <c r="D123" s="11" t="s">
        <v>177</v>
      </c>
      <c r="E123" s="76">
        <f t="shared" si="24"/>
        <v>520000</v>
      </c>
      <c r="F123" s="83">
        <f>400000+120000</f>
        <v>520000</v>
      </c>
      <c r="G123" s="76"/>
      <c r="H123" s="76"/>
      <c r="I123" s="76"/>
      <c r="J123" s="76">
        <f t="shared" si="23"/>
        <v>10850000</v>
      </c>
      <c r="K123" s="76">
        <v>10850000</v>
      </c>
      <c r="L123" s="80">
        <v>10850000</v>
      </c>
      <c r="M123" s="76"/>
      <c r="N123" s="76"/>
      <c r="O123" s="76"/>
      <c r="P123" s="76">
        <v>10850000</v>
      </c>
      <c r="Q123" s="76">
        <f>E123+J123</f>
        <v>11370000</v>
      </c>
      <c r="R123" s="13"/>
      <c r="S123" s="13"/>
      <c r="T123" s="13"/>
    </row>
    <row r="124" spans="1:20" s="43" customFormat="1" ht="32.25">
      <c r="A124" s="15" t="s">
        <v>236</v>
      </c>
      <c r="B124" s="15" t="s">
        <v>235</v>
      </c>
      <c r="C124" s="15" t="s">
        <v>28</v>
      </c>
      <c r="D124" s="11" t="s">
        <v>237</v>
      </c>
      <c r="E124" s="76">
        <f>F124+I124</f>
        <v>2500000</v>
      </c>
      <c r="F124" s="83">
        <v>2500000</v>
      </c>
      <c r="G124" s="76"/>
      <c r="H124" s="76"/>
      <c r="I124" s="76"/>
      <c r="J124" s="76">
        <f t="shared" si="23"/>
        <v>3500000</v>
      </c>
      <c r="K124" s="76">
        <v>3500000</v>
      </c>
      <c r="L124" s="80">
        <v>3500000</v>
      </c>
      <c r="M124" s="76"/>
      <c r="N124" s="76"/>
      <c r="O124" s="76"/>
      <c r="P124" s="76">
        <v>3500000</v>
      </c>
      <c r="Q124" s="76">
        <f t="shared" ref="Q124:Q138" si="25">E124+J124</f>
        <v>6000000</v>
      </c>
      <c r="R124" s="13"/>
      <c r="S124" s="13"/>
      <c r="T124" s="13"/>
    </row>
    <row r="125" spans="1:20" s="57" customFormat="1" ht="18.75">
      <c r="A125" s="23"/>
      <c r="B125" s="23"/>
      <c r="C125" s="23"/>
      <c r="D125" s="24" t="s">
        <v>384</v>
      </c>
      <c r="E125" s="78">
        <f>F125+I125</f>
        <v>2500000</v>
      </c>
      <c r="F125" s="85">
        <v>2500000</v>
      </c>
      <c r="G125" s="78"/>
      <c r="H125" s="78"/>
      <c r="I125" s="78"/>
      <c r="J125" s="78">
        <f>K125</f>
        <v>3500000</v>
      </c>
      <c r="K125" s="78">
        <v>3500000</v>
      </c>
      <c r="L125" s="81"/>
      <c r="M125" s="78"/>
      <c r="N125" s="78"/>
      <c r="O125" s="78"/>
      <c r="P125" s="78">
        <v>3500000</v>
      </c>
      <c r="Q125" s="78">
        <f>E125+J125</f>
        <v>6000000</v>
      </c>
      <c r="R125" s="41"/>
      <c r="S125" s="41"/>
      <c r="T125" s="41"/>
    </row>
    <row r="126" spans="1:20" s="43" customFormat="1" ht="32.25">
      <c r="A126" s="15" t="s">
        <v>179</v>
      </c>
      <c r="B126" s="15" t="s">
        <v>178</v>
      </c>
      <c r="C126" s="15" t="s">
        <v>28</v>
      </c>
      <c r="D126" s="11" t="s">
        <v>180</v>
      </c>
      <c r="E126" s="76">
        <f t="shared" si="24"/>
        <v>590000</v>
      </c>
      <c r="F126" s="83">
        <v>590000</v>
      </c>
      <c r="G126" s="76"/>
      <c r="H126" s="76"/>
      <c r="I126" s="76"/>
      <c r="J126" s="76">
        <f t="shared" si="23"/>
        <v>2000000</v>
      </c>
      <c r="K126" s="76">
        <v>2000000</v>
      </c>
      <c r="L126" s="80">
        <v>2000000</v>
      </c>
      <c r="M126" s="76"/>
      <c r="N126" s="76"/>
      <c r="O126" s="76"/>
      <c r="P126" s="76">
        <v>2000000</v>
      </c>
      <c r="Q126" s="76">
        <f t="shared" si="25"/>
        <v>2590000</v>
      </c>
      <c r="R126" s="13"/>
      <c r="S126" s="13"/>
      <c r="T126" s="13"/>
    </row>
    <row r="127" spans="1:20" s="43" customFormat="1" ht="32.25">
      <c r="A127" s="15" t="s">
        <v>230</v>
      </c>
      <c r="B127" s="15" t="s">
        <v>229</v>
      </c>
      <c r="C127" s="15" t="s">
        <v>28</v>
      </c>
      <c r="D127" s="11" t="s">
        <v>231</v>
      </c>
      <c r="E127" s="76">
        <f t="shared" si="24"/>
        <v>190000</v>
      </c>
      <c r="F127" s="83">
        <f>400000-210000</f>
        <v>190000</v>
      </c>
      <c r="G127" s="76"/>
      <c r="H127" s="76"/>
      <c r="I127" s="76"/>
      <c r="J127" s="76">
        <f t="shared" si="23"/>
        <v>10000000</v>
      </c>
      <c r="K127" s="76">
        <v>10000000</v>
      </c>
      <c r="L127" s="80">
        <v>10000000</v>
      </c>
      <c r="M127" s="76"/>
      <c r="N127" s="76"/>
      <c r="O127" s="76"/>
      <c r="P127" s="76">
        <v>10000000</v>
      </c>
      <c r="Q127" s="76">
        <f t="shared" si="25"/>
        <v>10190000</v>
      </c>
      <c r="R127" s="13"/>
      <c r="S127" s="13"/>
      <c r="T127" s="13"/>
    </row>
    <row r="128" spans="1:20" s="43" customFormat="1" ht="48">
      <c r="A128" s="15" t="s">
        <v>305</v>
      </c>
      <c r="B128" s="15" t="s">
        <v>306</v>
      </c>
      <c r="C128" s="15" t="s">
        <v>28</v>
      </c>
      <c r="D128" s="11" t="s">
        <v>307</v>
      </c>
      <c r="E128" s="76">
        <f t="shared" si="24"/>
        <v>0</v>
      </c>
      <c r="F128" s="83"/>
      <c r="G128" s="76"/>
      <c r="H128" s="76"/>
      <c r="I128" s="76"/>
      <c r="J128" s="76">
        <f t="shared" si="23"/>
        <v>3175600</v>
      </c>
      <c r="K128" s="76">
        <v>3175600</v>
      </c>
      <c r="L128" s="80">
        <v>3175600</v>
      </c>
      <c r="M128" s="76"/>
      <c r="N128" s="76"/>
      <c r="O128" s="76"/>
      <c r="P128" s="76">
        <v>3175600</v>
      </c>
      <c r="Q128" s="76">
        <f t="shared" si="25"/>
        <v>3175600</v>
      </c>
      <c r="R128" s="13"/>
      <c r="S128" s="13"/>
      <c r="T128" s="13"/>
    </row>
    <row r="129" spans="1:20" s="43" customFormat="1" ht="32.25">
      <c r="A129" s="15" t="s">
        <v>308</v>
      </c>
      <c r="B129" s="15" t="s">
        <v>309</v>
      </c>
      <c r="C129" s="15" t="s">
        <v>28</v>
      </c>
      <c r="D129" s="11" t="s">
        <v>310</v>
      </c>
      <c r="E129" s="76">
        <f>F129+I129</f>
        <v>200000</v>
      </c>
      <c r="F129" s="83">
        <v>200000</v>
      </c>
      <c r="G129" s="76"/>
      <c r="H129" s="76"/>
      <c r="I129" s="76"/>
      <c r="J129" s="76">
        <f t="shared" si="23"/>
        <v>1340000</v>
      </c>
      <c r="K129" s="76">
        <v>1340000</v>
      </c>
      <c r="L129" s="80">
        <v>1340000</v>
      </c>
      <c r="M129" s="76"/>
      <c r="N129" s="76"/>
      <c r="O129" s="76"/>
      <c r="P129" s="76">
        <v>1340000</v>
      </c>
      <c r="Q129" s="76">
        <f t="shared" si="25"/>
        <v>1540000</v>
      </c>
      <c r="R129" s="13"/>
      <c r="S129" s="13"/>
      <c r="T129" s="13"/>
    </row>
    <row r="130" spans="1:20" s="43" customFormat="1" ht="19.5" customHeight="1">
      <c r="A130" s="15" t="s">
        <v>161</v>
      </c>
      <c r="B130" s="15" t="s">
        <v>87</v>
      </c>
      <c r="C130" s="15" t="s">
        <v>28</v>
      </c>
      <c r="D130" s="14" t="s">
        <v>107</v>
      </c>
      <c r="E130" s="76">
        <f t="shared" si="24"/>
        <v>44995400</v>
      </c>
      <c r="F130" s="76">
        <f>44785400+210000</f>
        <v>44995400</v>
      </c>
      <c r="G130" s="76"/>
      <c r="H130" s="76"/>
      <c r="I130" s="76"/>
      <c r="J130" s="76">
        <f t="shared" si="23"/>
        <v>17100000</v>
      </c>
      <c r="K130" s="76">
        <f>14600000+2500000</f>
        <v>17100000</v>
      </c>
      <c r="L130" s="80">
        <f>12800000+2500000</f>
        <v>15300000</v>
      </c>
      <c r="M130" s="76"/>
      <c r="N130" s="76"/>
      <c r="O130" s="76"/>
      <c r="P130" s="76">
        <f>14600000+2500000</f>
        <v>17100000</v>
      </c>
      <c r="Q130" s="76">
        <f t="shared" si="25"/>
        <v>62095400</v>
      </c>
      <c r="R130" s="13"/>
      <c r="S130" s="13"/>
      <c r="T130" s="13"/>
    </row>
    <row r="131" spans="1:20" s="43" customFormat="1" ht="18.75" hidden="1">
      <c r="A131" s="15" t="s">
        <v>321</v>
      </c>
      <c r="B131" s="15" t="s">
        <v>186</v>
      </c>
      <c r="C131" s="15" t="s">
        <v>101</v>
      </c>
      <c r="D131" s="14" t="s">
        <v>188</v>
      </c>
      <c r="E131" s="76">
        <f t="shared" si="24"/>
        <v>0</v>
      </c>
      <c r="F131" s="76"/>
      <c r="G131" s="76"/>
      <c r="H131" s="76"/>
      <c r="I131" s="76"/>
      <c r="J131" s="76">
        <f t="shared" si="23"/>
        <v>0</v>
      </c>
      <c r="K131" s="76"/>
      <c r="L131" s="80"/>
      <c r="M131" s="76"/>
      <c r="N131" s="76"/>
      <c r="O131" s="76"/>
      <c r="P131" s="76"/>
      <c r="Q131" s="76">
        <f t="shared" si="25"/>
        <v>0</v>
      </c>
      <c r="R131" s="13"/>
      <c r="S131" s="13"/>
      <c r="T131" s="13"/>
    </row>
    <row r="132" spans="1:20" s="57" customFormat="1" ht="18.75">
      <c r="A132" s="23"/>
      <c r="B132" s="23"/>
      <c r="C132" s="23"/>
      <c r="D132" s="36" t="s">
        <v>384</v>
      </c>
      <c r="E132" s="78"/>
      <c r="F132" s="78"/>
      <c r="G132" s="78"/>
      <c r="H132" s="78"/>
      <c r="I132" s="78"/>
      <c r="J132" s="78">
        <f>M132+P132</f>
        <v>2500000</v>
      </c>
      <c r="K132" s="78">
        <v>2500000</v>
      </c>
      <c r="L132" s="81">
        <v>2500000</v>
      </c>
      <c r="M132" s="78"/>
      <c r="N132" s="78"/>
      <c r="O132" s="78"/>
      <c r="P132" s="78">
        <v>2500000</v>
      </c>
      <c r="Q132" s="78">
        <f t="shared" si="25"/>
        <v>2500000</v>
      </c>
      <c r="R132" s="41"/>
      <c r="S132" s="41"/>
      <c r="T132" s="41"/>
    </row>
    <row r="133" spans="1:20" s="43" customFormat="1" ht="32.25">
      <c r="A133" s="15" t="s">
        <v>239</v>
      </c>
      <c r="B133" s="15" t="s">
        <v>238</v>
      </c>
      <c r="C133" s="15" t="s">
        <v>240</v>
      </c>
      <c r="D133" s="11" t="s">
        <v>241</v>
      </c>
      <c r="E133" s="76">
        <f t="shared" si="24"/>
        <v>400000</v>
      </c>
      <c r="F133" s="76">
        <v>400000</v>
      </c>
      <c r="G133" s="76"/>
      <c r="H133" s="76"/>
      <c r="I133" s="76"/>
      <c r="J133" s="76">
        <f t="shared" si="23"/>
        <v>0</v>
      </c>
      <c r="K133" s="76"/>
      <c r="L133" s="80"/>
      <c r="M133" s="76"/>
      <c r="N133" s="76"/>
      <c r="O133" s="76"/>
      <c r="P133" s="76"/>
      <c r="Q133" s="76">
        <f t="shared" si="25"/>
        <v>400000</v>
      </c>
      <c r="R133" s="13"/>
      <c r="S133" s="13"/>
      <c r="T133" s="13"/>
    </row>
    <row r="134" spans="1:20" s="43" customFormat="1" ht="32.25">
      <c r="A134" s="15" t="s">
        <v>267</v>
      </c>
      <c r="B134" s="15" t="s">
        <v>266</v>
      </c>
      <c r="C134" s="15" t="s">
        <v>46</v>
      </c>
      <c r="D134" s="14" t="s">
        <v>233</v>
      </c>
      <c r="E134" s="76">
        <f>F134+I134</f>
        <v>0</v>
      </c>
      <c r="F134" s="76"/>
      <c r="G134" s="76"/>
      <c r="H134" s="76"/>
      <c r="I134" s="76"/>
      <c r="J134" s="76">
        <f t="shared" si="23"/>
        <v>7000000</v>
      </c>
      <c r="K134" s="76">
        <f>6500000+500000</f>
        <v>7000000</v>
      </c>
      <c r="L134" s="80">
        <v>500000</v>
      </c>
      <c r="M134" s="76"/>
      <c r="N134" s="76"/>
      <c r="O134" s="76"/>
      <c r="P134" s="76">
        <f>6500000+500000</f>
        <v>7000000</v>
      </c>
      <c r="Q134" s="76">
        <f t="shared" si="25"/>
        <v>7000000</v>
      </c>
      <c r="R134" s="13"/>
      <c r="S134" s="13"/>
      <c r="T134" s="13"/>
    </row>
    <row r="135" spans="1:20" s="43" customFormat="1" ht="48">
      <c r="A135" s="15" t="s">
        <v>232</v>
      </c>
      <c r="B135" s="15" t="s">
        <v>173</v>
      </c>
      <c r="C135" s="15" t="s">
        <v>88</v>
      </c>
      <c r="D135" s="11" t="s">
        <v>174</v>
      </c>
      <c r="E135" s="76">
        <f t="shared" si="24"/>
        <v>16500000</v>
      </c>
      <c r="F135" s="76">
        <v>16500000</v>
      </c>
      <c r="G135" s="76"/>
      <c r="H135" s="76"/>
      <c r="I135" s="76"/>
      <c r="J135" s="76">
        <f>M135+P135</f>
        <v>15590000</v>
      </c>
      <c r="K135" s="76">
        <f>11790000+3800000</f>
        <v>15590000</v>
      </c>
      <c r="L135" s="80">
        <f>11790000+3800000</f>
        <v>15590000</v>
      </c>
      <c r="M135" s="76"/>
      <c r="N135" s="76"/>
      <c r="O135" s="76"/>
      <c r="P135" s="76">
        <f>11790000+3800000</f>
        <v>15590000</v>
      </c>
      <c r="Q135" s="76">
        <f>E135+J135</f>
        <v>32090000</v>
      </c>
      <c r="R135" s="13"/>
      <c r="S135" s="13"/>
      <c r="T135" s="13"/>
    </row>
    <row r="136" spans="1:20" s="57" customFormat="1" ht="18.75">
      <c r="A136" s="23"/>
      <c r="B136" s="23"/>
      <c r="C136" s="23"/>
      <c r="D136" s="24" t="s">
        <v>384</v>
      </c>
      <c r="E136" s="78"/>
      <c r="F136" s="78"/>
      <c r="G136" s="78"/>
      <c r="H136" s="78"/>
      <c r="I136" s="78"/>
      <c r="J136" s="78">
        <f>M136+P136</f>
        <v>3800000</v>
      </c>
      <c r="K136" s="78">
        <v>3800000</v>
      </c>
      <c r="L136" s="81">
        <v>3800000</v>
      </c>
      <c r="M136" s="78"/>
      <c r="N136" s="78"/>
      <c r="O136" s="78"/>
      <c r="P136" s="78">
        <v>3800000</v>
      </c>
      <c r="Q136" s="78">
        <f>E136+J136</f>
        <v>3800000</v>
      </c>
      <c r="R136" s="41"/>
      <c r="S136" s="41"/>
      <c r="T136" s="41"/>
    </row>
    <row r="137" spans="1:20" s="43" customFormat="1" ht="18.75">
      <c r="A137" s="15" t="s">
        <v>234</v>
      </c>
      <c r="B137" s="15" t="s">
        <v>171</v>
      </c>
      <c r="C137" s="15" t="s">
        <v>26</v>
      </c>
      <c r="D137" s="11" t="s">
        <v>27</v>
      </c>
      <c r="E137" s="76">
        <f>F137+I137</f>
        <v>0</v>
      </c>
      <c r="F137" s="76"/>
      <c r="G137" s="76"/>
      <c r="H137" s="76"/>
      <c r="I137" s="76"/>
      <c r="J137" s="76">
        <f t="shared" si="23"/>
        <v>1200000</v>
      </c>
      <c r="K137" s="76">
        <v>1200000</v>
      </c>
      <c r="L137" s="80">
        <v>1200000</v>
      </c>
      <c r="M137" s="76"/>
      <c r="N137" s="76"/>
      <c r="O137" s="76"/>
      <c r="P137" s="76">
        <v>1200000</v>
      </c>
      <c r="Q137" s="76">
        <f t="shared" si="25"/>
        <v>1200000</v>
      </c>
      <c r="R137" s="13"/>
      <c r="S137" s="13"/>
      <c r="T137" s="13"/>
    </row>
    <row r="138" spans="1:20" s="43" customFormat="1" ht="32.25">
      <c r="A138" s="15" t="s">
        <v>258</v>
      </c>
      <c r="B138" s="15" t="s">
        <v>249</v>
      </c>
      <c r="C138" s="15" t="s">
        <v>89</v>
      </c>
      <c r="D138" s="14" t="s">
        <v>270</v>
      </c>
      <c r="E138" s="76">
        <f t="shared" si="24"/>
        <v>0</v>
      </c>
      <c r="F138" s="76"/>
      <c r="G138" s="76"/>
      <c r="H138" s="76"/>
      <c r="I138" s="76"/>
      <c r="J138" s="76">
        <f t="shared" si="23"/>
        <v>400000</v>
      </c>
      <c r="K138" s="76"/>
      <c r="L138" s="80"/>
      <c r="M138" s="76">
        <v>400000</v>
      </c>
      <c r="N138" s="76"/>
      <c r="O138" s="76"/>
      <c r="P138" s="76"/>
      <c r="Q138" s="76">
        <f t="shared" si="25"/>
        <v>400000</v>
      </c>
      <c r="R138" s="13"/>
      <c r="S138" s="13"/>
      <c r="T138" s="13"/>
    </row>
    <row r="139" spans="1:20" s="42" customFormat="1" ht="34.5" customHeight="1">
      <c r="A139" s="17" t="s">
        <v>54</v>
      </c>
      <c r="B139" s="17"/>
      <c r="C139" s="17"/>
      <c r="D139" s="18" t="s">
        <v>20</v>
      </c>
      <c r="E139" s="74">
        <f>E140</f>
        <v>1780900</v>
      </c>
      <c r="F139" s="74">
        <f>F140</f>
        <v>1780900</v>
      </c>
      <c r="G139" s="74">
        <f t="shared" ref="G139:Q139" si="26">G140</f>
        <v>1722100</v>
      </c>
      <c r="H139" s="74">
        <f t="shared" si="26"/>
        <v>0</v>
      </c>
      <c r="I139" s="74">
        <f t="shared" si="26"/>
        <v>0</v>
      </c>
      <c r="J139" s="74">
        <f t="shared" si="26"/>
        <v>60760900</v>
      </c>
      <c r="K139" s="74">
        <f t="shared" si="26"/>
        <v>60760900</v>
      </c>
      <c r="L139" s="75">
        <f t="shared" si="26"/>
        <v>32126400</v>
      </c>
      <c r="M139" s="74">
        <f t="shared" si="26"/>
        <v>0</v>
      </c>
      <c r="N139" s="74">
        <f t="shared" si="26"/>
        <v>0</v>
      </c>
      <c r="O139" s="74">
        <f t="shared" si="26"/>
        <v>0</v>
      </c>
      <c r="P139" s="74">
        <f t="shared" si="26"/>
        <v>60760900</v>
      </c>
      <c r="Q139" s="74">
        <f t="shared" si="26"/>
        <v>62541800</v>
      </c>
      <c r="R139" s="38"/>
      <c r="S139" s="38"/>
      <c r="T139" s="38"/>
    </row>
    <row r="140" spans="1:20" s="43" customFormat="1" ht="31.5" customHeight="1">
      <c r="A140" s="17" t="s">
        <v>55</v>
      </c>
      <c r="B140" s="15"/>
      <c r="C140" s="15"/>
      <c r="D140" s="18" t="s">
        <v>20</v>
      </c>
      <c r="E140" s="74">
        <f>E141+E142+E143+E144+E145+E147</f>
        <v>1780900</v>
      </c>
      <c r="F140" s="74">
        <f>F141+F142+F143+F144+F145+F147</f>
        <v>1780900</v>
      </c>
      <c r="G140" s="74">
        <f>G141+G142+G143+G144+G145+G147</f>
        <v>1722100</v>
      </c>
      <c r="H140" s="74">
        <f>H141+H142+H143+H144+H145+H147</f>
        <v>0</v>
      </c>
      <c r="I140" s="74">
        <f>I141+I142+I143+I144+I145+I147</f>
        <v>0</v>
      </c>
      <c r="J140" s="74">
        <f t="shared" ref="J140:P140" si="27">J141+J142+J143+J144+J147+J145</f>
        <v>60760900</v>
      </c>
      <c r="K140" s="74">
        <f t="shared" si="27"/>
        <v>60760900</v>
      </c>
      <c r="L140" s="75">
        <f t="shared" si="27"/>
        <v>32126400</v>
      </c>
      <c r="M140" s="74">
        <f t="shared" si="27"/>
        <v>0</v>
      </c>
      <c r="N140" s="74">
        <f t="shared" si="27"/>
        <v>0</v>
      </c>
      <c r="O140" s="74">
        <f t="shared" si="27"/>
        <v>0</v>
      </c>
      <c r="P140" s="74">
        <f t="shared" si="27"/>
        <v>60760900</v>
      </c>
      <c r="Q140" s="74">
        <f t="shared" ref="Q140:Q164" si="28">E140+J140</f>
        <v>62541800</v>
      </c>
      <c r="R140" s="13"/>
      <c r="S140" s="13"/>
      <c r="T140" s="13"/>
    </row>
    <row r="141" spans="1:20" s="43" customFormat="1" ht="48">
      <c r="A141" s="15" t="s">
        <v>162</v>
      </c>
      <c r="B141" s="15" t="s">
        <v>110</v>
      </c>
      <c r="C141" s="15" t="s">
        <v>21</v>
      </c>
      <c r="D141" s="14" t="s">
        <v>112</v>
      </c>
      <c r="E141" s="76">
        <f t="shared" ref="E141:E147" si="29">F141+I141</f>
        <v>1780900</v>
      </c>
      <c r="F141" s="76">
        <f>1668400+108600+23900-20000</f>
        <v>1780900</v>
      </c>
      <c r="G141" s="76">
        <f>1589600+108600+23900</f>
        <v>1722100</v>
      </c>
      <c r="H141" s="76"/>
      <c r="I141" s="76"/>
      <c r="J141" s="76">
        <f t="shared" ref="J141:J147" si="30">M141+P141</f>
        <v>15000</v>
      </c>
      <c r="K141" s="76">
        <v>15000</v>
      </c>
      <c r="L141" s="80">
        <v>15000</v>
      </c>
      <c r="M141" s="76"/>
      <c r="N141" s="76"/>
      <c r="O141" s="76"/>
      <c r="P141" s="76">
        <v>15000</v>
      </c>
      <c r="Q141" s="76">
        <f t="shared" si="28"/>
        <v>1795900</v>
      </c>
      <c r="R141" s="13"/>
      <c r="S141" s="13"/>
      <c r="T141" s="13"/>
    </row>
    <row r="142" spans="1:20" s="43" customFormat="1" ht="32.25">
      <c r="A142" s="15" t="s">
        <v>244</v>
      </c>
      <c r="B142" s="15" t="s">
        <v>242</v>
      </c>
      <c r="C142" s="15" t="s">
        <v>86</v>
      </c>
      <c r="D142" s="14" t="s">
        <v>243</v>
      </c>
      <c r="E142" s="76">
        <f t="shared" si="29"/>
        <v>0</v>
      </c>
      <c r="F142" s="76"/>
      <c r="G142" s="76"/>
      <c r="H142" s="76"/>
      <c r="I142" s="76"/>
      <c r="J142" s="76">
        <f t="shared" si="30"/>
        <v>200000</v>
      </c>
      <c r="K142" s="76">
        <v>200000</v>
      </c>
      <c r="L142" s="80">
        <v>200000</v>
      </c>
      <c r="M142" s="76"/>
      <c r="N142" s="76"/>
      <c r="O142" s="76"/>
      <c r="P142" s="76">
        <v>200000</v>
      </c>
      <c r="Q142" s="76">
        <f t="shared" si="28"/>
        <v>200000</v>
      </c>
      <c r="R142" s="13"/>
      <c r="S142" s="13"/>
      <c r="T142" s="13"/>
    </row>
    <row r="143" spans="1:20" s="43" customFormat="1" ht="36" customHeight="1">
      <c r="A143" s="15" t="s">
        <v>268</v>
      </c>
      <c r="B143" s="15" t="s">
        <v>266</v>
      </c>
      <c r="C143" s="15" t="s">
        <v>46</v>
      </c>
      <c r="D143" s="14" t="s">
        <v>233</v>
      </c>
      <c r="E143" s="76">
        <f t="shared" si="29"/>
        <v>0</v>
      </c>
      <c r="F143" s="76"/>
      <c r="G143" s="76"/>
      <c r="H143" s="76"/>
      <c r="I143" s="76"/>
      <c r="J143" s="76">
        <f t="shared" si="30"/>
        <v>55545900</v>
      </c>
      <c r="K143" s="76">
        <f>53409600+2136300</f>
        <v>55545900</v>
      </c>
      <c r="L143" s="80">
        <f>24775100+2136300</f>
        <v>26911400</v>
      </c>
      <c r="M143" s="76"/>
      <c r="N143" s="76"/>
      <c r="O143" s="76"/>
      <c r="P143" s="76">
        <f>53409600+2136300</f>
        <v>55545900</v>
      </c>
      <c r="Q143" s="76">
        <f t="shared" si="28"/>
        <v>55545900</v>
      </c>
      <c r="R143" s="13"/>
      <c r="S143" s="13"/>
      <c r="T143" s="13"/>
    </row>
    <row r="144" spans="1:20" s="43" customFormat="1" ht="126.75" hidden="1">
      <c r="A144" s="15" t="s">
        <v>316</v>
      </c>
      <c r="B144" s="15" t="s">
        <v>317</v>
      </c>
      <c r="C144" s="15" t="s">
        <v>46</v>
      </c>
      <c r="D144" s="14" t="s">
        <v>318</v>
      </c>
      <c r="E144" s="76">
        <f t="shared" si="29"/>
        <v>0</v>
      </c>
      <c r="F144" s="76"/>
      <c r="G144" s="76"/>
      <c r="H144" s="76"/>
      <c r="I144" s="76"/>
      <c r="J144" s="76">
        <f t="shared" si="30"/>
        <v>0</v>
      </c>
      <c r="K144" s="76"/>
      <c r="L144" s="80"/>
      <c r="M144" s="76"/>
      <c r="N144" s="76"/>
      <c r="O144" s="76"/>
      <c r="P144" s="76"/>
      <c r="Q144" s="76">
        <f t="shared" si="28"/>
        <v>0</v>
      </c>
      <c r="R144" s="13"/>
      <c r="S144" s="13"/>
      <c r="T144" s="13"/>
    </row>
    <row r="145" spans="1:20" s="43" customFormat="1" ht="53.25" hidden="1" customHeight="1">
      <c r="A145" s="15" t="s">
        <v>387</v>
      </c>
      <c r="B145" s="15" t="s">
        <v>169</v>
      </c>
      <c r="C145" s="15" t="s">
        <v>24</v>
      </c>
      <c r="D145" s="11" t="s">
        <v>274</v>
      </c>
      <c r="E145" s="76">
        <f t="shared" si="29"/>
        <v>0</v>
      </c>
      <c r="F145" s="76"/>
      <c r="G145" s="76"/>
      <c r="H145" s="76"/>
      <c r="I145" s="76"/>
      <c r="J145" s="76">
        <f>M145+P145</f>
        <v>0</v>
      </c>
      <c r="K145" s="76"/>
      <c r="L145" s="92"/>
      <c r="M145" s="76"/>
      <c r="N145" s="76"/>
      <c r="O145" s="76"/>
      <c r="P145" s="76"/>
      <c r="Q145" s="93">
        <f>E145+J145</f>
        <v>0</v>
      </c>
      <c r="R145" s="13"/>
      <c r="S145" s="13"/>
      <c r="T145" s="13"/>
    </row>
    <row r="146" spans="1:20" s="57" customFormat="1" ht="24" customHeight="1">
      <c r="A146" s="23"/>
      <c r="B146" s="23"/>
      <c r="C146" s="23"/>
      <c r="D146" s="24" t="s">
        <v>384</v>
      </c>
      <c r="E146" s="78"/>
      <c r="F146" s="78"/>
      <c r="G146" s="78"/>
      <c r="H146" s="78"/>
      <c r="I146" s="78"/>
      <c r="J146" s="78">
        <f>P146+M146</f>
        <v>7430000</v>
      </c>
      <c r="K146" s="78">
        <v>7430000</v>
      </c>
      <c r="L146" s="94"/>
      <c r="M146" s="78"/>
      <c r="N146" s="78"/>
      <c r="O146" s="78"/>
      <c r="P146" s="78">
        <v>7430000</v>
      </c>
      <c r="Q146" s="85">
        <f>E146+J146</f>
        <v>7430000</v>
      </c>
      <c r="R146" s="41"/>
      <c r="S146" s="41"/>
      <c r="T146" s="41"/>
    </row>
    <row r="147" spans="1:20" s="43" customFormat="1" ht="36.75" customHeight="1">
      <c r="A147" s="15" t="s">
        <v>246</v>
      </c>
      <c r="B147" s="15" t="s">
        <v>245</v>
      </c>
      <c r="C147" s="15" t="s">
        <v>248</v>
      </c>
      <c r="D147" s="14" t="s">
        <v>247</v>
      </c>
      <c r="E147" s="76">
        <f t="shared" si="29"/>
        <v>0</v>
      </c>
      <c r="F147" s="76"/>
      <c r="G147" s="76"/>
      <c r="H147" s="76"/>
      <c r="I147" s="76"/>
      <c r="J147" s="76">
        <f t="shared" si="30"/>
        <v>5000000</v>
      </c>
      <c r="K147" s="76">
        <v>5000000</v>
      </c>
      <c r="L147" s="80">
        <v>5000000</v>
      </c>
      <c r="M147" s="76"/>
      <c r="N147" s="76"/>
      <c r="O147" s="76"/>
      <c r="P147" s="76">
        <v>5000000</v>
      </c>
      <c r="Q147" s="76">
        <f t="shared" si="28"/>
        <v>5000000</v>
      </c>
      <c r="R147" s="13"/>
      <c r="S147" s="13"/>
      <c r="T147" s="13"/>
    </row>
    <row r="148" spans="1:20" s="43" customFormat="1" ht="48">
      <c r="A148" s="17" t="s">
        <v>163</v>
      </c>
      <c r="B148" s="17"/>
      <c r="C148" s="17"/>
      <c r="D148" s="18" t="s">
        <v>17</v>
      </c>
      <c r="E148" s="74">
        <f>E149</f>
        <v>7593600</v>
      </c>
      <c r="F148" s="74">
        <f>F149</f>
        <v>7593600</v>
      </c>
      <c r="G148" s="74">
        <f t="shared" ref="G148:Q148" si="31">G149</f>
        <v>2085400</v>
      </c>
      <c r="H148" s="74">
        <f t="shared" si="31"/>
        <v>0</v>
      </c>
      <c r="I148" s="74">
        <f t="shared" si="31"/>
        <v>0</v>
      </c>
      <c r="J148" s="74">
        <f t="shared" si="31"/>
        <v>2955000</v>
      </c>
      <c r="K148" s="74">
        <f t="shared" si="31"/>
        <v>2955000</v>
      </c>
      <c r="L148" s="75">
        <f t="shared" si="31"/>
        <v>2955000</v>
      </c>
      <c r="M148" s="74">
        <f t="shared" si="31"/>
        <v>0</v>
      </c>
      <c r="N148" s="74">
        <f t="shared" si="31"/>
        <v>0</v>
      </c>
      <c r="O148" s="74">
        <f t="shared" si="31"/>
        <v>0</v>
      </c>
      <c r="P148" s="74">
        <f t="shared" si="31"/>
        <v>2955000</v>
      </c>
      <c r="Q148" s="74">
        <f t="shared" si="31"/>
        <v>10548600</v>
      </c>
      <c r="R148" s="13"/>
      <c r="S148" s="13"/>
      <c r="T148" s="13"/>
    </row>
    <row r="149" spans="1:20" s="43" customFormat="1" ht="48">
      <c r="A149" s="17" t="s">
        <v>164</v>
      </c>
      <c r="B149" s="15"/>
      <c r="C149" s="15"/>
      <c r="D149" s="18" t="s">
        <v>17</v>
      </c>
      <c r="E149" s="74">
        <f t="shared" ref="E149:E154" si="32">F149+I149</f>
        <v>7593600</v>
      </c>
      <c r="F149" s="74">
        <f>F150+F151+F152+F153+F154+F157</f>
        <v>7593600</v>
      </c>
      <c r="G149" s="74">
        <f t="shared" ref="G149:I149" si="33">G150+G151+G152+G153+G154+G157</f>
        <v>2085400</v>
      </c>
      <c r="H149" s="74">
        <f t="shared" si="33"/>
        <v>0</v>
      </c>
      <c r="I149" s="74">
        <f t="shared" si="33"/>
        <v>0</v>
      </c>
      <c r="J149" s="74">
        <f>M149+P149</f>
        <v>2955000</v>
      </c>
      <c r="K149" s="74">
        <f>K150+K151+K152+K153+K154+K155+K156+K157</f>
        <v>2955000</v>
      </c>
      <c r="L149" s="74">
        <f t="shared" ref="L149:P149" si="34">L150+L151+L152+L153+L154+L155+L156+L157</f>
        <v>2955000</v>
      </c>
      <c r="M149" s="74">
        <f t="shared" si="34"/>
        <v>0</v>
      </c>
      <c r="N149" s="74">
        <f t="shared" si="34"/>
        <v>0</v>
      </c>
      <c r="O149" s="74">
        <f t="shared" si="34"/>
        <v>0</v>
      </c>
      <c r="P149" s="74">
        <f t="shared" si="34"/>
        <v>2955000</v>
      </c>
      <c r="Q149" s="74">
        <f t="shared" ref="Q149:Q156" si="35">E149+J149</f>
        <v>10548600</v>
      </c>
      <c r="R149" s="13"/>
      <c r="S149" s="13"/>
      <c r="T149" s="13"/>
    </row>
    <row r="150" spans="1:20" s="43" customFormat="1" ht="48">
      <c r="A150" s="15" t="s">
        <v>165</v>
      </c>
      <c r="B150" s="15" t="s">
        <v>110</v>
      </c>
      <c r="C150" s="15" t="s">
        <v>21</v>
      </c>
      <c r="D150" s="14" t="s">
        <v>112</v>
      </c>
      <c r="E150" s="76">
        <f t="shared" si="32"/>
        <v>2193100</v>
      </c>
      <c r="F150" s="76">
        <f>2122000+131500+29000+60600-150000</f>
        <v>2193100</v>
      </c>
      <c r="G150" s="76">
        <f>1924900+131500+29000</f>
        <v>2085400</v>
      </c>
      <c r="H150" s="76"/>
      <c r="I150" s="76"/>
      <c r="J150" s="76">
        <f>M150+P150</f>
        <v>30000</v>
      </c>
      <c r="K150" s="76">
        <f>12000+18000</f>
        <v>30000</v>
      </c>
      <c r="L150" s="80">
        <f>12000+18000</f>
        <v>30000</v>
      </c>
      <c r="M150" s="76"/>
      <c r="N150" s="76"/>
      <c r="O150" s="76"/>
      <c r="P150" s="76">
        <f>12000+18000</f>
        <v>30000</v>
      </c>
      <c r="Q150" s="76">
        <f t="shared" si="35"/>
        <v>2223100</v>
      </c>
      <c r="R150" s="13"/>
      <c r="S150" s="13"/>
      <c r="T150" s="13"/>
    </row>
    <row r="151" spans="1:20" s="43" customFormat="1" ht="18.75">
      <c r="A151" s="15" t="s">
        <v>181</v>
      </c>
      <c r="B151" s="15" t="s">
        <v>29</v>
      </c>
      <c r="C151" s="15" t="s">
        <v>25</v>
      </c>
      <c r="D151" s="14" t="s">
        <v>182</v>
      </c>
      <c r="E151" s="76">
        <f t="shared" si="32"/>
        <v>100500</v>
      </c>
      <c r="F151" s="76">
        <v>100500</v>
      </c>
      <c r="G151" s="76"/>
      <c r="H151" s="76"/>
      <c r="I151" s="76"/>
      <c r="J151" s="76"/>
      <c r="K151" s="76"/>
      <c r="L151" s="80"/>
      <c r="M151" s="76"/>
      <c r="N151" s="76"/>
      <c r="O151" s="76"/>
      <c r="P151" s="76"/>
      <c r="Q151" s="76">
        <f t="shared" si="35"/>
        <v>100500</v>
      </c>
      <c r="R151" s="13"/>
      <c r="S151" s="13"/>
      <c r="T151" s="13"/>
    </row>
    <row r="152" spans="1:20" s="43" customFormat="1" ht="21.75" customHeight="1">
      <c r="A152" s="15" t="s">
        <v>187</v>
      </c>
      <c r="B152" s="15" t="s">
        <v>186</v>
      </c>
      <c r="C152" s="15" t="s">
        <v>101</v>
      </c>
      <c r="D152" s="14" t="s">
        <v>188</v>
      </c>
      <c r="E152" s="76">
        <f t="shared" si="32"/>
        <v>300000</v>
      </c>
      <c r="F152" s="76">
        <v>300000</v>
      </c>
      <c r="G152" s="76"/>
      <c r="H152" s="76"/>
      <c r="I152" s="76"/>
      <c r="J152" s="76">
        <f t="shared" ref="J152:J157" si="36">M152+P152</f>
        <v>100000</v>
      </c>
      <c r="K152" s="76">
        <v>100000</v>
      </c>
      <c r="L152" s="80">
        <v>100000</v>
      </c>
      <c r="M152" s="76"/>
      <c r="N152" s="76"/>
      <c r="O152" s="76"/>
      <c r="P152" s="76">
        <v>100000</v>
      </c>
      <c r="Q152" s="76">
        <f t="shared" si="35"/>
        <v>400000</v>
      </c>
      <c r="R152" s="13"/>
      <c r="S152" s="13"/>
      <c r="T152" s="13"/>
    </row>
    <row r="153" spans="1:20" s="43" customFormat="1" ht="32.25">
      <c r="A153" s="15" t="s">
        <v>269</v>
      </c>
      <c r="B153" s="15" t="s">
        <v>266</v>
      </c>
      <c r="C153" s="15" t="s">
        <v>46</v>
      </c>
      <c r="D153" s="14" t="s">
        <v>233</v>
      </c>
      <c r="E153" s="76">
        <f t="shared" si="32"/>
        <v>0</v>
      </c>
      <c r="F153" s="76"/>
      <c r="G153" s="76"/>
      <c r="H153" s="76"/>
      <c r="I153" s="76"/>
      <c r="J153" s="76">
        <f t="shared" si="36"/>
        <v>1625000</v>
      </c>
      <c r="K153" s="76">
        <v>1625000</v>
      </c>
      <c r="L153" s="80">
        <v>1625000</v>
      </c>
      <c r="M153" s="76"/>
      <c r="N153" s="76"/>
      <c r="O153" s="76"/>
      <c r="P153" s="76">
        <v>1625000</v>
      </c>
      <c r="Q153" s="76">
        <f t="shared" si="35"/>
        <v>1625000</v>
      </c>
      <c r="R153" s="13"/>
      <c r="S153" s="13"/>
      <c r="T153" s="13"/>
    </row>
    <row r="154" spans="1:20" s="43" customFormat="1" ht="32.25">
      <c r="A154" s="15" t="s">
        <v>184</v>
      </c>
      <c r="B154" s="15" t="s">
        <v>183</v>
      </c>
      <c r="C154" s="15" t="s">
        <v>46</v>
      </c>
      <c r="D154" s="14" t="s">
        <v>185</v>
      </c>
      <c r="E154" s="76">
        <f t="shared" si="32"/>
        <v>0</v>
      </c>
      <c r="F154" s="76"/>
      <c r="G154" s="76"/>
      <c r="H154" s="76"/>
      <c r="I154" s="76"/>
      <c r="J154" s="76">
        <f t="shared" si="36"/>
        <v>300000</v>
      </c>
      <c r="K154" s="76">
        <v>300000</v>
      </c>
      <c r="L154" s="80">
        <v>300000</v>
      </c>
      <c r="M154" s="76"/>
      <c r="N154" s="76"/>
      <c r="O154" s="76"/>
      <c r="P154" s="76">
        <v>300000</v>
      </c>
      <c r="Q154" s="76">
        <f t="shared" si="35"/>
        <v>300000</v>
      </c>
      <c r="R154" s="13"/>
      <c r="S154" s="13"/>
      <c r="T154" s="13"/>
    </row>
    <row r="155" spans="1:20" s="43" customFormat="1" ht="63.75">
      <c r="A155" s="15" t="s">
        <v>388</v>
      </c>
      <c r="B155" s="15" t="s">
        <v>389</v>
      </c>
      <c r="C155" s="15" t="s">
        <v>46</v>
      </c>
      <c r="D155" s="14" t="s">
        <v>390</v>
      </c>
      <c r="E155" s="76"/>
      <c r="F155" s="76"/>
      <c r="G155" s="76"/>
      <c r="H155" s="76"/>
      <c r="I155" s="76"/>
      <c r="J155" s="76">
        <f t="shared" si="36"/>
        <v>300000</v>
      </c>
      <c r="K155" s="76">
        <v>300000</v>
      </c>
      <c r="L155" s="80">
        <v>300000</v>
      </c>
      <c r="M155" s="76"/>
      <c r="N155" s="76"/>
      <c r="O155" s="76"/>
      <c r="P155" s="76">
        <v>300000</v>
      </c>
      <c r="Q155" s="76">
        <f t="shared" si="35"/>
        <v>300000</v>
      </c>
      <c r="R155" s="13"/>
      <c r="S155" s="13"/>
      <c r="T155" s="13"/>
    </row>
    <row r="156" spans="1:20" s="43" customFormat="1" ht="32.25">
      <c r="A156" s="15" t="s">
        <v>391</v>
      </c>
      <c r="B156" s="15" t="s">
        <v>392</v>
      </c>
      <c r="C156" s="15" t="s">
        <v>46</v>
      </c>
      <c r="D156" s="95" t="s">
        <v>393</v>
      </c>
      <c r="E156" s="76"/>
      <c r="F156" s="76"/>
      <c r="G156" s="76"/>
      <c r="H156" s="76"/>
      <c r="I156" s="76"/>
      <c r="J156" s="76">
        <f t="shared" si="36"/>
        <v>100000</v>
      </c>
      <c r="K156" s="76">
        <v>100000</v>
      </c>
      <c r="L156" s="80">
        <v>100000</v>
      </c>
      <c r="M156" s="76"/>
      <c r="N156" s="76"/>
      <c r="O156" s="76"/>
      <c r="P156" s="76">
        <v>100000</v>
      </c>
      <c r="Q156" s="76">
        <f t="shared" si="35"/>
        <v>100000</v>
      </c>
      <c r="R156" s="13"/>
      <c r="S156" s="13"/>
      <c r="T156" s="13"/>
    </row>
    <row r="157" spans="1:20" s="43" customFormat="1" ht="18.75">
      <c r="A157" s="15" t="s">
        <v>394</v>
      </c>
      <c r="B157" s="15" t="s">
        <v>271</v>
      </c>
      <c r="C157" s="15" t="s">
        <v>46</v>
      </c>
      <c r="D157" s="14" t="s">
        <v>273</v>
      </c>
      <c r="E157" s="76">
        <f>F157+I157</f>
        <v>5000000</v>
      </c>
      <c r="F157" s="76">
        <v>5000000</v>
      </c>
      <c r="G157" s="76"/>
      <c r="H157" s="76"/>
      <c r="I157" s="76"/>
      <c r="J157" s="76">
        <f t="shared" si="36"/>
        <v>500000</v>
      </c>
      <c r="K157" s="76">
        <v>500000</v>
      </c>
      <c r="L157" s="80">
        <v>500000</v>
      </c>
      <c r="M157" s="76"/>
      <c r="N157" s="76"/>
      <c r="O157" s="76"/>
      <c r="P157" s="76">
        <v>500000</v>
      </c>
      <c r="Q157" s="76">
        <f>E157+J157</f>
        <v>5500000</v>
      </c>
      <c r="R157" s="13"/>
      <c r="S157" s="13"/>
      <c r="T157" s="13"/>
    </row>
    <row r="158" spans="1:20" s="42" customFormat="1" ht="32.25">
      <c r="A158" s="17" t="s">
        <v>166</v>
      </c>
      <c r="B158" s="17"/>
      <c r="C158" s="17"/>
      <c r="D158" s="18" t="s">
        <v>11</v>
      </c>
      <c r="E158" s="74">
        <f>E159</f>
        <v>60134500</v>
      </c>
      <c r="F158" s="74">
        <f>F159</f>
        <v>55134500</v>
      </c>
      <c r="G158" s="74">
        <f t="shared" ref="G158:Q158" si="37">G159</f>
        <v>3067200</v>
      </c>
      <c r="H158" s="74">
        <f t="shared" si="37"/>
        <v>0</v>
      </c>
      <c r="I158" s="74">
        <f t="shared" si="37"/>
        <v>0</v>
      </c>
      <c r="J158" s="74">
        <f t="shared" si="37"/>
        <v>14885900</v>
      </c>
      <c r="K158" s="74">
        <f t="shared" si="37"/>
        <v>14885900</v>
      </c>
      <c r="L158" s="75">
        <f t="shared" si="37"/>
        <v>3385900</v>
      </c>
      <c r="M158" s="74">
        <f t="shared" si="37"/>
        <v>0</v>
      </c>
      <c r="N158" s="74">
        <f t="shared" si="37"/>
        <v>0</v>
      </c>
      <c r="O158" s="74">
        <f t="shared" si="37"/>
        <v>0</v>
      </c>
      <c r="P158" s="74">
        <f t="shared" si="37"/>
        <v>14885900</v>
      </c>
      <c r="Q158" s="74">
        <f t="shared" si="37"/>
        <v>75020400</v>
      </c>
      <c r="R158" s="38"/>
      <c r="S158" s="38"/>
      <c r="T158" s="38"/>
    </row>
    <row r="159" spans="1:20" s="43" customFormat="1" ht="32.25">
      <c r="A159" s="17" t="s">
        <v>167</v>
      </c>
      <c r="B159" s="15"/>
      <c r="C159" s="15"/>
      <c r="D159" s="18" t="s">
        <v>11</v>
      </c>
      <c r="E159" s="74">
        <f t="shared" ref="E159:P159" si="38">E160+E161+E162+E163+E164</f>
        <v>60134500</v>
      </c>
      <c r="F159" s="74">
        <f t="shared" si="38"/>
        <v>55134500</v>
      </c>
      <c r="G159" s="74">
        <f t="shared" si="38"/>
        <v>3067200</v>
      </c>
      <c r="H159" s="74">
        <f t="shared" si="38"/>
        <v>0</v>
      </c>
      <c r="I159" s="74">
        <f t="shared" si="38"/>
        <v>0</v>
      </c>
      <c r="J159" s="74">
        <f t="shared" si="38"/>
        <v>14885900</v>
      </c>
      <c r="K159" s="74">
        <f t="shared" si="38"/>
        <v>14885900</v>
      </c>
      <c r="L159" s="75">
        <f>L160+L161+L162+L163+L164</f>
        <v>3385900</v>
      </c>
      <c r="M159" s="74">
        <f t="shared" si="38"/>
        <v>0</v>
      </c>
      <c r="N159" s="74">
        <f t="shared" si="38"/>
        <v>0</v>
      </c>
      <c r="O159" s="74">
        <f t="shared" si="38"/>
        <v>0</v>
      </c>
      <c r="P159" s="74">
        <f t="shared" si="38"/>
        <v>14885900</v>
      </c>
      <c r="Q159" s="74">
        <f t="shared" si="28"/>
        <v>75020400</v>
      </c>
      <c r="R159" s="13"/>
      <c r="S159" s="13"/>
      <c r="T159" s="13"/>
    </row>
    <row r="160" spans="1:20" s="43" customFormat="1" ht="48">
      <c r="A160" s="15" t="s">
        <v>168</v>
      </c>
      <c r="B160" s="15" t="s">
        <v>110</v>
      </c>
      <c r="C160" s="15" t="s">
        <v>21</v>
      </c>
      <c r="D160" s="14" t="s">
        <v>112</v>
      </c>
      <c r="E160" s="76">
        <f>F160+I160</f>
        <v>3227000</v>
      </c>
      <c r="F160" s="76">
        <f>3087100+193400+42600+1500+2400-100000</f>
        <v>3227000</v>
      </c>
      <c r="G160" s="76">
        <f>2831200+193400+42600</f>
        <v>3067200</v>
      </c>
      <c r="H160" s="76"/>
      <c r="I160" s="76"/>
      <c r="J160" s="76">
        <f>M160+P160</f>
        <v>30000</v>
      </c>
      <c r="K160" s="76">
        <v>30000</v>
      </c>
      <c r="L160" s="80">
        <v>30000</v>
      </c>
      <c r="M160" s="76"/>
      <c r="N160" s="76"/>
      <c r="O160" s="76"/>
      <c r="P160" s="76">
        <v>30000</v>
      </c>
      <c r="Q160" s="76">
        <f t="shared" si="28"/>
        <v>3257000</v>
      </c>
      <c r="R160" s="13"/>
      <c r="S160" s="13"/>
      <c r="T160" s="13"/>
    </row>
    <row r="161" spans="1:20" s="43" customFormat="1" ht="18.75">
      <c r="A161" s="15" t="s">
        <v>189</v>
      </c>
      <c r="B161" s="15" t="s">
        <v>29</v>
      </c>
      <c r="C161" s="15" t="s">
        <v>25</v>
      </c>
      <c r="D161" s="14" t="s">
        <v>182</v>
      </c>
      <c r="E161" s="76">
        <f>F161+I161</f>
        <v>4194700</v>
      </c>
      <c r="F161" s="76">
        <f>27400+10000000-5000000-100000-60600-422100-800000-3550000+2300000+1800000</f>
        <v>4194700</v>
      </c>
      <c r="G161" s="76"/>
      <c r="H161" s="76"/>
      <c r="I161" s="76"/>
      <c r="J161" s="76">
        <f>M161+P161</f>
        <v>14155900</v>
      </c>
      <c r="K161" s="76">
        <f>10000000-6000000+3480900-1625000-200000-3000000+11500000</f>
        <v>14155900</v>
      </c>
      <c r="L161" s="80">
        <f>10000000-6000000+3480900-1625000-200000-3000000</f>
        <v>2655900</v>
      </c>
      <c r="M161" s="76"/>
      <c r="N161" s="76"/>
      <c r="O161" s="76"/>
      <c r="P161" s="76">
        <f>10000000-6000000+3480900-1625000-200000-3000000+11500000</f>
        <v>14155900</v>
      </c>
      <c r="Q161" s="76">
        <f t="shared" si="28"/>
        <v>18350600</v>
      </c>
      <c r="R161" s="13"/>
      <c r="S161" s="13"/>
      <c r="T161" s="13"/>
    </row>
    <row r="162" spans="1:20" s="43" customFormat="1" ht="18.75">
      <c r="A162" s="15" t="s">
        <v>193</v>
      </c>
      <c r="B162" s="15" t="s">
        <v>192</v>
      </c>
      <c r="C162" s="15" t="s">
        <v>25</v>
      </c>
      <c r="D162" s="14" t="s">
        <v>7</v>
      </c>
      <c r="E162" s="76">
        <v>5000000</v>
      </c>
      <c r="F162" s="76"/>
      <c r="G162" s="76"/>
      <c r="H162" s="76"/>
      <c r="I162" s="76"/>
      <c r="J162" s="76"/>
      <c r="K162" s="76"/>
      <c r="L162" s="80"/>
      <c r="M162" s="76"/>
      <c r="N162" s="76"/>
      <c r="O162" s="76"/>
      <c r="P162" s="76"/>
      <c r="Q162" s="76">
        <f t="shared" si="28"/>
        <v>5000000</v>
      </c>
      <c r="R162" s="13"/>
      <c r="S162" s="13"/>
      <c r="T162" s="13"/>
    </row>
    <row r="163" spans="1:20" s="13" customFormat="1" ht="18.75">
      <c r="A163" s="15" t="s">
        <v>191</v>
      </c>
      <c r="B163" s="15" t="s">
        <v>190</v>
      </c>
      <c r="C163" s="15" t="s">
        <v>29</v>
      </c>
      <c r="D163" s="14" t="s">
        <v>8</v>
      </c>
      <c r="E163" s="76">
        <f>F163+I163</f>
        <v>47712800</v>
      </c>
      <c r="F163" s="76">
        <f>47715200-2400</f>
        <v>47712800</v>
      </c>
      <c r="G163" s="76"/>
      <c r="H163" s="76"/>
      <c r="I163" s="76"/>
      <c r="J163" s="76"/>
      <c r="K163" s="76"/>
      <c r="L163" s="80"/>
      <c r="M163" s="76"/>
      <c r="N163" s="76"/>
      <c r="O163" s="76"/>
      <c r="P163" s="76"/>
      <c r="Q163" s="76">
        <f t="shared" si="28"/>
        <v>47712800</v>
      </c>
    </row>
    <row r="164" spans="1:20" s="43" customFormat="1" ht="18.75">
      <c r="A164" s="15" t="s">
        <v>324</v>
      </c>
      <c r="B164" s="15" t="s">
        <v>322</v>
      </c>
      <c r="C164" s="15" t="s">
        <v>29</v>
      </c>
      <c r="D164" s="37" t="s">
        <v>323</v>
      </c>
      <c r="E164" s="76"/>
      <c r="F164" s="76"/>
      <c r="G164" s="76"/>
      <c r="H164" s="76"/>
      <c r="I164" s="76"/>
      <c r="J164" s="76">
        <f>P164</f>
        <v>700000</v>
      </c>
      <c r="K164" s="76">
        <v>700000</v>
      </c>
      <c r="L164" s="80">
        <v>700000</v>
      </c>
      <c r="M164" s="76"/>
      <c r="N164" s="76"/>
      <c r="O164" s="76"/>
      <c r="P164" s="76">
        <v>700000</v>
      </c>
      <c r="Q164" s="76">
        <f t="shared" si="28"/>
        <v>700000</v>
      </c>
      <c r="R164" s="13"/>
      <c r="S164" s="13"/>
      <c r="T164" s="13"/>
    </row>
    <row r="165" spans="1:20" s="43" customFormat="1" ht="18.75">
      <c r="A165" s="15"/>
      <c r="B165" s="15"/>
      <c r="C165" s="15"/>
      <c r="D165" s="27" t="s">
        <v>6</v>
      </c>
      <c r="E165" s="74">
        <f>E13+E44+E66+E97+E108+E118+E139+E148+E158</f>
        <v>761371853</v>
      </c>
      <c r="F165" s="74">
        <f>F13+F44+F66+F97+F108+F118+F139+F148+F158</f>
        <v>756371853</v>
      </c>
      <c r="G165" s="74">
        <f>G13+G44+G66+G97+G108+G118+G139+G148+G158</f>
        <v>289593700</v>
      </c>
      <c r="H165" s="74">
        <f>H13+H44+H66+H97+H108+H118+H139+H148+H158</f>
        <v>29439200</v>
      </c>
      <c r="I165" s="74">
        <f>I13+I44+I66+I97+I108+I118+I139+I148+I158</f>
        <v>0</v>
      </c>
      <c r="J165" s="74">
        <f>M165+P165</f>
        <v>225405601</v>
      </c>
      <c r="K165" s="74">
        <f t="shared" ref="K165:P165" si="39">K13+K44+K66+K97+K108+K118+K139+K148+K158</f>
        <v>202860800</v>
      </c>
      <c r="L165" s="74">
        <f t="shared" si="39"/>
        <v>154426300</v>
      </c>
      <c r="M165" s="74">
        <f t="shared" si="39"/>
        <v>22450801</v>
      </c>
      <c r="N165" s="74">
        <f t="shared" si="39"/>
        <v>380500</v>
      </c>
      <c r="O165" s="74">
        <f t="shared" si="39"/>
        <v>0</v>
      </c>
      <c r="P165" s="74">
        <f t="shared" si="39"/>
        <v>202954800</v>
      </c>
      <c r="Q165" s="74">
        <f>E165+J165</f>
        <v>986777454</v>
      </c>
      <c r="R165" s="13"/>
      <c r="S165" s="13"/>
      <c r="T165" s="13"/>
    </row>
    <row r="166" spans="1:20" s="13" customFormat="1" ht="15.75">
      <c r="A166" s="28"/>
      <c r="B166" s="28"/>
      <c r="C166" s="28"/>
      <c r="D166" s="29"/>
      <c r="E166" s="29"/>
      <c r="F166" s="29"/>
      <c r="G166" s="29"/>
      <c r="H166" s="29"/>
      <c r="I166" s="29"/>
      <c r="K166" s="30"/>
      <c r="L166" s="54"/>
      <c r="N166" s="30"/>
      <c r="O166" s="30"/>
      <c r="P166" s="30"/>
      <c r="Q166" s="30"/>
    </row>
    <row r="167" spans="1:20" s="13" customFormat="1" ht="15.75">
      <c r="E167" s="28"/>
      <c r="F167" s="28"/>
      <c r="G167" s="28"/>
      <c r="H167" s="96"/>
      <c r="K167" s="30"/>
      <c r="L167" s="54"/>
      <c r="M167" s="96"/>
      <c r="N167" s="30"/>
      <c r="O167" s="30"/>
      <c r="P167" s="30"/>
      <c r="Q167" s="30"/>
    </row>
    <row r="168" spans="1:20" s="20" customFormat="1" ht="15.75">
      <c r="A168" s="28"/>
      <c r="B168" s="28"/>
      <c r="C168" s="28"/>
      <c r="E168" s="31"/>
      <c r="F168" s="31"/>
      <c r="L168" s="97"/>
    </row>
    <row r="169" spans="1:20">
      <c r="E169" s="4" t="s">
        <v>395</v>
      </c>
    </row>
  </sheetData>
  <mergeCells count="21">
    <mergeCell ref="A6:P6"/>
    <mergeCell ref="A8:A11"/>
    <mergeCell ref="B8:B11"/>
    <mergeCell ref="C8:C11"/>
    <mergeCell ref="D8:D11"/>
    <mergeCell ref="E8:I8"/>
    <mergeCell ref="J8:P8"/>
    <mergeCell ref="Q8:Q11"/>
    <mergeCell ref="E9:E11"/>
    <mergeCell ref="F9:F11"/>
    <mergeCell ref="K9:K11"/>
    <mergeCell ref="G10:G11"/>
    <mergeCell ref="H10:H11"/>
    <mergeCell ref="N10:N11"/>
    <mergeCell ref="O10:O11"/>
    <mergeCell ref="G9:H9"/>
    <mergeCell ref="I9:I11"/>
    <mergeCell ref="J9:J11"/>
    <mergeCell ref="M9:M11"/>
    <mergeCell ref="N9:O9"/>
    <mergeCell ref="P9:P11"/>
  </mergeCells>
  <pageMargins left="0.16" right="0.16" top="0.15748031496062992" bottom="0.11811023622047245" header="0.15748031496062992" footer="0.11811023622047245"/>
  <pageSetup paperSize="9" scale="27" fitToHeight="3" orientation="landscape" r:id="rId1"/>
  <rowBreaks count="1" manualBreakCount="1">
    <brk id="32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12"/>
  <sheetViews>
    <sheetView view="pageBreakPreview" zoomScale="80" zoomScaleNormal="75" zoomScaleSheetLayoutView="80" workbookViewId="0">
      <pane xSplit="4" ySplit="12" topLeftCell="E25" activePane="bottomRight" state="frozen"/>
      <selection pane="topRight" activeCell="E1" sqref="E1"/>
      <selection pane="bottomLeft" activeCell="A13" sqref="A13"/>
      <selection pane="bottomRight" activeCell="D33" sqref="D33"/>
    </sheetView>
  </sheetViews>
  <sheetFormatPr defaultRowHeight="15"/>
  <cols>
    <col min="1" max="1" width="18" style="6" customWidth="1"/>
    <col min="2" max="2" width="9.140625" style="6"/>
    <col min="3" max="3" width="18.42578125" style="6" customWidth="1"/>
    <col min="4" max="4" width="49.85546875" style="4" customWidth="1"/>
    <col min="5" max="6" width="18.5703125" style="4" customWidth="1"/>
    <col min="7" max="7" width="18.42578125" style="4" customWidth="1"/>
    <col min="8" max="8" width="16.7109375" style="4" customWidth="1"/>
    <col min="9" max="9" width="14.85546875" style="4" customWidth="1"/>
    <col min="10" max="10" width="18.42578125" style="4" customWidth="1"/>
    <col min="11" max="11" width="17.42578125" style="4" customWidth="1"/>
    <col min="12" max="12" width="19" style="55" customWidth="1"/>
    <col min="13" max="13" width="16.42578125" style="4" customWidth="1"/>
    <col min="14" max="14" width="12.42578125" style="4" customWidth="1"/>
    <col min="15" max="15" width="11.140625" style="4" customWidth="1"/>
    <col min="16" max="16" width="18.42578125" style="4" customWidth="1"/>
    <col min="17" max="17" width="19.5703125" style="4" customWidth="1"/>
    <col min="18" max="18" width="15.85546875" style="4" customWidth="1"/>
    <col min="19" max="19" width="12" style="4" bestFit="1" customWidth="1"/>
    <col min="20" max="16384" width="9.140625" style="4"/>
  </cols>
  <sheetData>
    <row r="1" spans="1:20">
      <c r="O1" s="5" t="s">
        <v>399</v>
      </c>
    </row>
    <row r="2" spans="1:20">
      <c r="O2" s="5" t="s">
        <v>326</v>
      </c>
    </row>
    <row r="3" spans="1:20">
      <c r="O3" s="5" t="s">
        <v>331</v>
      </c>
    </row>
    <row r="4" spans="1:20">
      <c r="O4" s="22" t="s">
        <v>421</v>
      </c>
    </row>
    <row r="6" spans="1:20" ht="20.25">
      <c r="A6" s="160" t="s">
        <v>354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</row>
    <row r="7" spans="1:20">
      <c r="D7" s="7"/>
      <c r="E7" s="7"/>
      <c r="F7" s="7"/>
      <c r="G7" s="7"/>
      <c r="H7" s="7"/>
      <c r="I7" s="7"/>
      <c r="J7" s="7"/>
      <c r="K7" s="7"/>
      <c r="L7" s="49"/>
      <c r="M7" s="7"/>
      <c r="N7" s="7"/>
      <c r="O7" s="7"/>
      <c r="P7" s="7"/>
      <c r="Q7" s="8" t="s">
        <v>340</v>
      </c>
    </row>
    <row r="8" spans="1:20" ht="15" customHeight="1">
      <c r="A8" s="152" t="s">
        <v>332</v>
      </c>
      <c r="B8" s="152" t="s">
        <v>333</v>
      </c>
      <c r="C8" s="155" t="s">
        <v>334</v>
      </c>
      <c r="D8" s="156" t="s">
        <v>335</v>
      </c>
      <c r="E8" s="157" t="s">
        <v>0</v>
      </c>
      <c r="F8" s="158"/>
      <c r="G8" s="158"/>
      <c r="H8" s="158"/>
      <c r="I8" s="159"/>
      <c r="J8" s="147" t="s">
        <v>4</v>
      </c>
      <c r="K8" s="147"/>
      <c r="L8" s="147"/>
      <c r="M8" s="147"/>
      <c r="N8" s="147"/>
      <c r="O8" s="147"/>
      <c r="P8" s="147"/>
      <c r="Q8" s="147" t="s">
        <v>6</v>
      </c>
    </row>
    <row r="9" spans="1:20" ht="15" customHeight="1">
      <c r="A9" s="153"/>
      <c r="B9" s="153"/>
      <c r="C9" s="155"/>
      <c r="D9" s="156"/>
      <c r="E9" s="147" t="s">
        <v>336</v>
      </c>
      <c r="F9" s="147" t="s">
        <v>329</v>
      </c>
      <c r="G9" s="147" t="s">
        <v>1</v>
      </c>
      <c r="H9" s="147"/>
      <c r="I9" s="148" t="s">
        <v>330</v>
      </c>
      <c r="J9" s="147" t="s">
        <v>336</v>
      </c>
      <c r="K9" s="147" t="s">
        <v>337</v>
      </c>
      <c r="L9" s="50"/>
      <c r="M9" s="147" t="s">
        <v>329</v>
      </c>
      <c r="N9" s="147" t="s">
        <v>1</v>
      </c>
      <c r="O9" s="147"/>
      <c r="P9" s="147" t="s">
        <v>338</v>
      </c>
      <c r="Q9" s="147"/>
    </row>
    <row r="10" spans="1:20" ht="15" customHeight="1">
      <c r="A10" s="153"/>
      <c r="B10" s="153"/>
      <c r="C10" s="155"/>
      <c r="D10" s="156"/>
      <c r="E10" s="147"/>
      <c r="F10" s="147"/>
      <c r="G10" s="147" t="s">
        <v>2</v>
      </c>
      <c r="H10" s="147" t="s">
        <v>3</v>
      </c>
      <c r="I10" s="149"/>
      <c r="J10" s="147"/>
      <c r="K10" s="147"/>
      <c r="L10" s="51" t="s">
        <v>1</v>
      </c>
      <c r="M10" s="147"/>
      <c r="N10" s="147" t="s">
        <v>2</v>
      </c>
      <c r="O10" s="147" t="s">
        <v>3</v>
      </c>
      <c r="P10" s="147"/>
      <c r="Q10" s="147"/>
    </row>
    <row r="11" spans="1:20" ht="83.25" customHeight="1">
      <c r="A11" s="154"/>
      <c r="B11" s="154"/>
      <c r="C11" s="155"/>
      <c r="D11" s="156"/>
      <c r="E11" s="147"/>
      <c r="F11" s="147"/>
      <c r="G11" s="147"/>
      <c r="H11" s="147"/>
      <c r="I11" s="150"/>
      <c r="J11" s="147"/>
      <c r="K11" s="147"/>
      <c r="L11" s="52" t="s">
        <v>5</v>
      </c>
      <c r="M11" s="147"/>
      <c r="N11" s="147"/>
      <c r="O11" s="147"/>
      <c r="P11" s="147"/>
      <c r="Q11" s="147"/>
    </row>
    <row r="12" spans="1:20">
      <c r="A12" s="9">
        <v>1</v>
      </c>
      <c r="B12" s="9">
        <v>2</v>
      </c>
      <c r="C12" s="9">
        <v>3</v>
      </c>
      <c r="D12" s="71">
        <v>4</v>
      </c>
      <c r="E12" s="71">
        <v>5</v>
      </c>
      <c r="F12" s="71">
        <v>6</v>
      </c>
      <c r="G12" s="71">
        <v>7</v>
      </c>
      <c r="H12" s="71">
        <v>8</v>
      </c>
      <c r="I12" s="71">
        <v>9</v>
      </c>
      <c r="J12" s="71">
        <v>10</v>
      </c>
      <c r="K12" s="71">
        <v>11</v>
      </c>
      <c r="L12" s="53"/>
      <c r="M12" s="71">
        <v>12</v>
      </c>
      <c r="N12" s="71">
        <v>13</v>
      </c>
      <c r="O12" s="71">
        <v>14</v>
      </c>
      <c r="P12" s="71">
        <v>15</v>
      </c>
      <c r="Q12" s="71" t="s">
        <v>339</v>
      </c>
    </row>
    <row r="13" spans="1:20" s="42" customFormat="1" ht="32.25">
      <c r="A13" s="17" t="s">
        <v>123</v>
      </c>
      <c r="B13" s="17"/>
      <c r="C13" s="17"/>
      <c r="D13" s="18" t="s">
        <v>18</v>
      </c>
      <c r="E13" s="61">
        <f>E14</f>
        <v>3853081.2</v>
      </c>
      <c r="F13" s="61">
        <f>F14</f>
        <v>3853081.2</v>
      </c>
      <c r="G13" s="61">
        <f t="shared" ref="G13:P13" si="0">G14</f>
        <v>0</v>
      </c>
      <c r="H13" s="61">
        <f t="shared" si="0"/>
        <v>0</v>
      </c>
      <c r="I13" s="61">
        <f t="shared" si="0"/>
        <v>0</v>
      </c>
      <c r="J13" s="61">
        <f t="shared" si="0"/>
        <v>573000</v>
      </c>
      <c r="K13" s="61">
        <f t="shared" si="0"/>
        <v>433000</v>
      </c>
      <c r="L13" s="62">
        <f t="shared" si="0"/>
        <v>433000</v>
      </c>
      <c r="M13" s="61">
        <f t="shared" si="0"/>
        <v>140000</v>
      </c>
      <c r="N13" s="61">
        <f>N14</f>
        <v>0</v>
      </c>
      <c r="O13" s="61">
        <f>O14</f>
        <v>0</v>
      </c>
      <c r="P13" s="61">
        <f t="shared" si="0"/>
        <v>433000</v>
      </c>
      <c r="Q13" s="63">
        <f t="shared" ref="Q13:Q40" si="1">E13+J13</f>
        <v>4426081.2</v>
      </c>
      <c r="R13" s="38"/>
      <c r="S13" s="38"/>
      <c r="T13" s="38"/>
    </row>
    <row r="14" spans="1:20" s="43" customFormat="1" ht="32.25">
      <c r="A14" s="17" t="s">
        <v>124</v>
      </c>
      <c r="B14" s="15"/>
      <c r="C14" s="15"/>
      <c r="D14" s="18" t="s">
        <v>18</v>
      </c>
      <c r="E14" s="63">
        <f>E15+E20+E21+E22+E23+E24+E26+E27</f>
        <v>3853081.2</v>
      </c>
      <c r="F14" s="63">
        <f t="shared" ref="F14:P14" si="2">F15+F20+F21+F22+F23+F24+F26+F27</f>
        <v>3853081.2</v>
      </c>
      <c r="G14" s="63">
        <f t="shared" si="2"/>
        <v>0</v>
      </c>
      <c r="H14" s="63">
        <f t="shared" si="2"/>
        <v>0</v>
      </c>
      <c r="I14" s="63">
        <f t="shared" si="2"/>
        <v>0</v>
      </c>
      <c r="J14" s="63">
        <f t="shared" si="2"/>
        <v>573000</v>
      </c>
      <c r="K14" s="63">
        <f t="shared" si="2"/>
        <v>433000</v>
      </c>
      <c r="L14" s="63">
        <f t="shared" si="2"/>
        <v>433000</v>
      </c>
      <c r="M14" s="63">
        <f t="shared" si="2"/>
        <v>140000</v>
      </c>
      <c r="N14" s="63">
        <f t="shared" si="2"/>
        <v>0</v>
      </c>
      <c r="O14" s="63">
        <f t="shared" si="2"/>
        <v>0</v>
      </c>
      <c r="P14" s="63">
        <f t="shared" si="2"/>
        <v>433000</v>
      </c>
      <c r="Q14" s="63">
        <f t="shared" si="1"/>
        <v>4426081.2</v>
      </c>
      <c r="R14" s="13"/>
      <c r="S14" s="13"/>
      <c r="T14" s="13"/>
    </row>
    <row r="15" spans="1:20" s="43" customFormat="1" ht="79.5">
      <c r="A15" s="15" t="s">
        <v>125</v>
      </c>
      <c r="B15" s="15" t="s">
        <v>103</v>
      </c>
      <c r="C15" s="15" t="s">
        <v>21</v>
      </c>
      <c r="D15" s="14" t="s">
        <v>104</v>
      </c>
      <c r="E15" s="58">
        <f>E16+E17+E18+E19</f>
        <v>350000</v>
      </c>
      <c r="F15" s="58">
        <f>F16+F17+F18+F19</f>
        <v>350000</v>
      </c>
      <c r="G15" s="58">
        <f t="shared" ref="G15:Q15" si="3">G16+G17+G18+G19</f>
        <v>0</v>
      </c>
      <c r="H15" s="58">
        <f t="shared" si="3"/>
        <v>0</v>
      </c>
      <c r="I15" s="58">
        <f t="shared" si="3"/>
        <v>0</v>
      </c>
      <c r="J15" s="58">
        <f t="shared" si="3"/>
        <v>0</v>
      </c>
      <c r="K15" s="58">
        <f t="shared" si="3"/>
        <v>0</v>
      </c>
      <c r="L15" s="58">
        <f t="shared" si="3"/>
        <v>0</v>
      </c>
      <c r="M15" s="58">
        <f t="shared" si="3"/>
        <v>0</v>
      </c>
      <c r="N15" s="58">
        <f t="shared" si="3"/>
        <v>0</v>
      </c>
      <c r="O15" s="58">
        <f t="shared" si="3"/>
        <v>0</v>
      </c>
      <c r="P15" s="58">
        <f t="shared" si="3"/>
        <v>0</v>
      </c>
      <c r="Q15" s="58">
        <f t="shared" si="3"/>
        <v>350000</v>
      </c>
      <c r="R15" s="13"/>
      <c r="S15" s="13"/>
      <c r="T15" s="13"/>
    </row>
    <row r="16" spans="1:20" s="43" customFormat="1" ht="31.5">
      <c r="A16" s="15"/>
      <c r="B16" s="15"/>
      <c r="C16" s="15"/>
      <c r="D16" s="77" t="s">
        <v>18</v>
      </c>
      <c r="E16" s="66">
        <f>F16+I16</f>
        <v>200000</v>
      </c>
      <c r="F16" s="66">
        <f>200000</f>
        <v>200000</v>
      </c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>
        <f>E16+J16</f>
        <v>200000</v>
      </c>
      <c r="R16" s="13"/>
      <c r="S16" s="13"/>
      <c r="T16" s="13"/>
    </row>
    <row r="17" spans="1:20" s="43" customFormat="1" ht="32.25">
      <c r="A17" s="17"/>
      <c r="B17" s="15"/>
      <c r="C17" s="15"/>
      <c r="D17" s="36" t="s">
        <v>226</v>
      </c>
      <c r="E17" s="66">
        <f>F17+I17</f>
        <v>80000</v>
      </c>
      <c r="F17" s="66">
        <f>80000</f>
        <v>80000</v>
      </c>
      <c r="G17" s="66"/>
      <c r="H17" s="66"/>
      <c r="I17" s="66"/>
      <c r="J17" s="66"/>
      <c r="K17" s="66"/>
      <c r="L17" s="67"/>
      <c r="M17" s="66"/>
      <c r="N17" s="66"/>
      <c r="O17" s="66"/>
      <c r="P17" s="66"/>
      <c r="Q17" s="66">
        <f>E17+J17</f>
        <v>80000</v>
      </c>
      <c r="R17" s="13"/>
      <c r="S17" s="13"/>
      <c r="T17" s="13"/>
    </row>
    <row r="18" spans="1:20" s="43" customFormat="1" ht="32.25">
      <c r="A18" s="17"/>
      <c r="B18" s="15"/>
      <c r="C18" s="15"/>
      <c r="D18" s="56" t="s">
        <v>12</v>
      </c>
      <c r="E18" s="66">
        <f t="shared" ref="E18:E19" si="4">F18+I18</f>
        <v>20000</v>
      </c>
      <c r="F18" s="66">
        <f>20000</f>
        <v>20000</v>
      </c>
      <c r="G18" s="66"/>
      <c r="H18" s="66"/>
      <c r="I18" s="66"/>
      <c r="J18" s="66"/>
      <c r="K18" s="66"/>
      <c r="L18" s="67"/>
      <c r="M18" s="66"/>
      <c r="N18" s="66"/>
      <c r="O18" s="66"/>
      <c r="P18" s="66"/>
      <c r="Q18" s="66">
        <f t="shared" ref="Q18:Q19" si="5">E18+J18</f>
        <v>20000</v>
      </c>
      <c r="R18" s="13"/>
      <c r="S18" s="13"/>
      <c r="T18" s="13"/>
    </row>
    <row r="19" spans="1:20" s="43" customFormat="1" ht="32.25">
      <c r="A19" s="17"/>
      <c r="B19" s="15"/>
      <c r="C19" s="15"/>
      <c r="D19" s="56" t="s">
        <v>14</v>
      </c>
      <c r="E19" s="66">
        <f t="shared" si="4"/>
        <v>50000</v>
      </c>
      <c r="F19" s="66">
        <f>50000</f>
        <v>50000</v>
      </c>
      <c r="G19" s="66"/>
      <c r="H19" s="66"/>
      <c r="I19" s="66"/>
      <c r="J19" s="66"/>
      <c r="K19" s="66"/>
      <c r="L19" s="67"/>
      <c r="M19" s="66"/>
      <c r="N19" s="66"/>
      <c r="O19" s="66"/>
      <c r="P19" s="66"/>
      <c r="Q19" s="66">
        <f t="shared" si="5"/>
        <v>50000</v>
      </c>
      <c r="R19" s="13"/>
      <c r="S19" s="13"/>
      <c r="T19" s="13"/>
    </row>
    <row r="20" spans="1:20" s="20" customFormat="1" ht="20.25" customHeight="1">
      <c r="A20" s="15" t="s">
        <v>222</v>
      </c>
      <c r="B20" s="15" t="s">
        <v>29</v>
      </c>
      <c r="C20" s="15" t="s">
        <v>25</v>
      </c>
      <c r="D20" s="16" t="s">
        <v>223</v>
      </c>
      <c r="E20" s="58">
        <f t="shared" ref="E20:E23" si="6">F20+I20</f>
        <v>100000</v>
      </c>
      <c r="F20" s="58">
        <v>100000</v>
      </c>
      <c r="G20" s="58"/>
      <c r="H20" s="58"/>
      <c r="I20" s="58"/>
      <c r="J20" s="58"/>
      <c r="K20" s="58"/>
      <c r="L20" s="65"/>
      <c r="M20" s="58"/>
      <c r="N20" s="58"/>
      <c r="O20" s="58"/>
      <c r="P20" s="58"/>
      <c r="Q20" s="58">
        <f t="shared" si="1"/>
        <v>100000</v>
      </c>
      <c r="R20" s="33"/>
    </row>
    <row r="21" spans="1:20" s="20" customFormat="1" ht="33.75" customHeight="1">
      <c r="A21" s="15" t="s">
        <v>126</v>
      </c>
      <c r="B21" s="15" t="s">
        <v>57</v>
      </c>
      <c r="C21" s="15" t="s">
        <v>58</v>
      </c>
      <c r="D21" s="11" t="s">
        <v>315</v>
      </c>
      <c r="E21" s="58">
        <f t="shared" si="6"/>
        <v>915081.2</v>
      </c>
      <c r="F21" s="58">
        <f>431738.2-100000+50000+100000+433343</f>
        <v>915081.2</v>
      </c>
      <c r="G21" s="58"/>
      <c r="H21" s="58"/>
      <c r="I21" s="58"/>
      <c r="J21" s="58">
        <f>M21+P21</f>
        <v>100000</v>
      </c>
      <c r="K21" s="58">
        <f>100000+500000-500000</f>
        <v>100000</v>
      </c>
      <c r="L21" s="65">
        <f>100000+500000-500000</f>
        <v>100000</v>
      </c>
      <c r="M21" s="58"/>
      <c r="N21" s="58"/>
      <c r="O21" s="58"/>
      <c r="P21" s="58">
        <f>100000+500000-500000</f>
        <v>100000</v>
      </c>
      <c r="Q21" s="58">
        <f t="shared" si="1"/>
        <v>1015081.2</v>
      </c>
      <c r="R21" s="33"/>
    </row>
    <row r="22" spans="1:20" s="20" customFormat="1" ht="18.75">
      <c r="A22" s="15" t="s">
        <v>127</v>
      </c>
      <c r="B22" s="15" t="s">
        <v>105</v>
      </c>
      <c r="C22" s="15" t="s">
        <v>59</v>
      </c>
      <c r="D22" s="11" t="s">
        <v>106</v>
      </c>
      <c r="E22" s="58">
        <f t="shared" si="6"/>
        <v>38000</v>
      </c>
      <c r="F22" s="58">
        <f>29000+9000</f>
        <v>38000</v>
      </c>
      <c r="G22" s="58"/>
      <c r="H22" s="58"/>
      <c r="I22" s="58"/>
      <c r="J22" s="58">
        <f>M22+P22</f>
        <v>33000</v>
      </c>
      <c r="K22" s="58">
        <f>33000</f>
        <v>33000</v>
      </c>
      <c r="L22" s="65">
        <f>33000</f>
        <v>33000</v>
      </c>
      <c r="M22" s="58"/>
      <c r="N22" s="58"/>
      <c r="O22" s="58"/>
      <c r="P22" s="58">
        <f>33000</f>
        <v>33000</v>
      </c>
      <c r="Q22" s="58">
        <f t="shared" si="1"/>
        <v>71000</v>
      </c>
      <c r="R22" s="33"/>
    </row>
    <row r="23" spans="1:20" s="20" customFormat="1" ht="48">
      <c r="A23" s="15" t="s">
        <v>414</v>
      </c>
      <c r="B23" s="15" t="s">
        <v>291</v>
      </c>
      <c r="C23" s="15" t="s">
        <v>35</v>
      </c>
      <c r="D23" s="11" t="s">
        <v>415</v>
      </c>
      <c r="E23" s="58">
        <f t="shared" si="6"/>
        <v>150000</v>
      </c>
      <c r="F23" s="58">
        <v>150000</v>
      </c>
      <c r="G23" s="58"/>
      <c r="H23" s="58"/>
      <c r="I23" s="58"/>
      <c r="J23" s="58"/>
      <c r="K23" s="58"/>
      <c r="L23" s="65"/>
      <c r="M23" s="58"/>
      <c r="N23" s="58"/>
      <c r="O23" s="58"/>
      <c r="P23" s="58"/>
      <c r="Q23" s="58">
        <f t="shared" si="1"/>
        <v>150000</v>
      </c>
      <c r="R23" s="33"/>
    </row>
    <row r="24" spans="1:20" s="20" customFormat="1" ht="19.5" customHeight="1">
      <c r="A24" s="15" t="s">
        <v>128</v>
      </c>
      <c r="B24" s="15" t="s">
        <v>87</v>
      </c>
      <c r="C24" s="15" t="s">
        <v>28</v>
      </c>
      <c r="D24" s="14" t="s">
        <v>107</v>
      </c>
      <c r="E24" s="58">
        <f>F24+I24</f>
        <v>0</v>
      </c>
      <c r="F24" s="58">
        <f>F25</f>
        <v>0</v>
      </c>
      <c r="G24" s="58"/>
      <c r="H24" s="58"/>
      <c r="I24" s="58"/>
      <c r="J24" s="58">
        <f>M24+P24</f>
        <v>300000</v>
      </c>
      <c r="K24" s="58">
        <f>K25</f>
        <v>300000</v>
      </c>
      <c r="L24" s="65">
        <f>L25</f>
        <v>300000</v>
      </c>
      <c r="M24" s="58"/>
      <c r="N24" s="58"/>
      <c r="O24" s="58"/>
      <c r="P24" s="58">
        <f>P25</f>
        <v>300000</v>
      </c>
      <c r="Q24" s="58">
        <f t="shared" si="1"/>
        <v>300000</v>
      </c>
    </row>
    <row r="25" spans="1:20" s="25" customFormat="1" ht="32.25" customHeight="1">
      <c r="A25" s="23"/>
      <c r="B25" s="23"/>
      <c r="C25" s="23"/>
      <c r="D25" s="56" t="s">
        <v>226</v>
      </c>
      <c r="E25" s="66">
        <f>F25+I25</f>
        <v>0</v>
      </c>
      <c r="F25" s="66"/>
      <c r="G25" s="66"/>
      <c r="H25" s="66"/>
      <c r="I25" s="66"/>
      <c r="J25" s="66">
        <f>M25+P25</f>
        <v>300000</v>
      </c>
      <c r="K25" s="66">
        <v>300000</v>
      </c>
      <c r="L25" s="67">
        <v>300000</v>
      </c>
      <c r="M25" s="66"/>
      <c r="N25" s="66"/>
      <c r="O25" s="66"/>
      <c r="P25" s="66">
        <v>300000</v>
      </c>
      <c r="Q25" s="66">
        <f t="shared" si="1"/>
        <v>300000</v>
      </c>
    </row>
    <row r="26" spans="1:20" s="20" customFormat="1" ht="32.25" customHeight="1">
      <c r="A26" s="15" t="s">
        <v>405</v>
      </c>
      <c r="B26" s="15" t="s">
        <v>406</v>
      </c>
      <c r="C26" s="15" t="s">
        <v>364</v>
      </c>
      <c r="D26" s="70" t="s">
        <v>407</v>
      </c>
      <c r="E26" s="58">
        <f>F26+I26</f>
        <v>2300000</v>
      </c>
      <c r="F26" s="58">
        <v>2300000</v>
      </c>
      <c r="G26" s="58"/>
      <c r="H26" s="58"/>
      <c r="I26" s="58"/>
      <c r="J26" s="58">
        <f>M26+P26</f>
        <v>0</v>
      </c>
      <c r="K26" s="58"/>
      <c r="L26" s="65"/>
      <c r="M26" s="58"/>
      <c r="N26" s="58"/>
      <c r="O26" s="58"/>
      <c r="P26" s="58"/>
      <c r="Q26" s="58">
        <f t="shared" si="1"/>
        <v>2300000</v>
      </c>
    </row>
    <row r="27" spans="1:20" s="44" customFormat="1" ht="32.25">
      <c r="A27" s="15" t="s">
        <v>250</v>
      </c>
      <c r="B27" s="15" t="s">
        <v>249</v>
      </c>
      <c r="C27" s="15" t="s">
        <v>89</v>
      </c>
      <c r="D27" s="14" t="s">
        <v>270</v>
      </c>
      <c r="E27" s="58"/>
      <c r="F27" s="58"/>
      <c r="G27" s="58"/>
      <c r="H27" s="58"/>
      <c r="I27" s="58"/>
      <c r="J27" s="58">
        <f>M27+P27</f>
        <v>140000</v>
      </c>
      <c r="K27" s="58"/>
      <c r="L27" s="65"/>
      <c r="M27" s="58">
        <v>140000</v>
      </c>
      <c r="N27" s="58"/>
      <c r="O27" s="58"/>
      <c r="P27" s="58"/>
      <c r="Q27" s="58">
        <f t="shared" si="1"/>
        <v>140000</v>
      </c>
      <c r="R27" s="20"/>
      <c r="S27" s="20"/>
      <c r="T27" s="20"/>
    </row>
    <row r="28" spans="1:20" s="45" customFormat="1" ht="32.25">
      <c r="A28" s="17" t="s">
        <v>108</v>
      </c>
      <c r="B28" s="17"/>
      <c r="C28" s="17"/>
      <c r="D28" s="18" t="s">
        <v>9</v>
      </c>
      <c r="E28" s="63">
        <f>E29</f>
        <v>2604042</v>
      </c>
      <c r="F28" s="63">
        <f>F29</f>
        <v>2604042</v>
      </c>
      <c r="G28" s="63">
        <f t="shared" ref="G28:P28" si="7">G29</f>
        <v>-300000</v>
      </c>
      <c r="H28" s="63">
        <f t="shared" si="7"/>
        <v>-700000</v>
      </c>
      <c r="I28" s="63">
        <f t="shared" si="7"/>
        <v>0</v>
      </c>
      <c r="J28" s="63">
        <f t="shared" si="7"/>
        <v>1522272.3900000001</v>
      </c>
      <c r="K28" s="63">
        <f t="shared" si="7"/>
        <v>1522272.3900000001</v>
      </c>
      <c r="L28" s="64">
        <f t="shared" si="7"/>
        <v>629314</v>
      </c>
      <c r="M28" s="63">
        <f t="shared" si="7"/>
        <v>0</v>
      </c>
      <c r="N28" s="63">
        <f t="shared" si="7"/>
        <v>0</v>
      </c>
      <c r="O28" s="63">
        <f t="shared" si="7"/>
        <v>0</v>
      </c>
      <c r="P28" s="63">
        <f t="shared" si="7"/>
        <v>1522272.3900000001</v>
      </c>
      <c r="Q28" s="63">
        <f t="shared" si="1"/>
        <v>4126314.39</v>
      </c>
      <c r="R28" s="21"/>
      <c r="S28" s="21"/>
      <c r="T28" s="21"/>
    </row>
    <row r="29" spans="1:20" s="44" customFormat="1" ht="32.25">
      <c r="A29" s="17" t="s">
        <v>109</v>
      </c>
      <c r="B29" s="15"/>
      <c r="C29" s="15"/>
      <c r="D29" s="18" t="s">
        <v>9</v>
      </c>
      <c r="E29" s="63">
        <f>E30+E33+E34+E35+E36+E37+E40</f>
        <v>2604042</v>
      </c>
      <c r="F29" s="63">
        <f>F30+F33+F34+F35+F36+F37+F40</f>
        <v>2604042</v>
      </c>
      <c r="G29" s="63">
        <f t="shared" ref="G29:I29" si="8">G30+G33+G34+G35+G36+G37+G40</f>
        <v>-300000</v>
      </c>
      <c r="H29" s="63">
        <f t="shared" si="8"/>
        <v>-700000</v>
      </c>
      <c r="I29" s="63">
        <f t="shared" si="8"/>
        <v>0</v>
      </c>
      <c r="J29" s="63">
        <f t="shared" ref="J29" si="9">J30+J33+J34+J35+J36+J37+J40</f>
        <v>1522272.3900000001</v>
      </c>
      <c r="K29" s="63">
        <f>K30+K33+K34+K35+K36+K37+K40</f>
        <v>1522272.3900000001</v>
      </c>
      <c r="L29" s="63">
        <f t="shared" ref="L29" si="10">L30+L33+L34+L35+L36+L37+L40</f>
        <v>629314</v>
      </c>
      <c r="M29" s="63">
        <f t="shared" ref="M29" si="11">M30+M33+M34+M35+M36+M37+M40</f>
        <v>0</v>
      </c>
      <c r="N29" s="63">
        <f t="shared" ref="N29" si="12">N30+N33+N34+N35+N36+N37+N40</f>
        <v>0</v>
      </c>
      <c r="O29" s="63">
        <f t="shared" ref="O29" si="13">O30+O33+O34+O35+O36+O37+O40</f>
        <v>0</v>
      </c>
      <c r="P29" s="63">
        <f t="shared" ref="P29" si="14">P30+P33+P34+P35+P36+P37+P40</f>
        <v>1522272.3900000001</v>
      </c>
      <c r="Q29" s="63">
        <f>E29+J29</f>
        <v>4126314.39</v>
      </c>
      <c r="R29" s="20"/>
      <c r="S29" s="20"/>
      <c r="T29" s="20"/>
    </row>
    <row r="30" spans="1:20" s="20" customFormat="1" ht="18.75">
      <c r="A30" s="15" t="s">
        <v>113</v>
      </c>
      <c r="B30" s="15" t="s">
        <v>30</v>
      </c>
      <c r="C30" s="15" t="s">
        <v>31</v>
      </c>
      <c r="D30" s="11" t="s">
        <v>114</v>
      </c>
      <c r="E30" s="58">
        <f>F30+I30</f>
        <v>250000</v>
      </c>
      <c r="F30" s="59">
        <f>200000+25000+25000</f>
        <v>250000</v>
      </c>
      <c r="G30" s="59"/>
      <c r="H30" s="59">
        <v>-700000</v>
      </c>
      <c r="I30" s="59"/>
      <c r="J30" s="58">
        <f t="shared" ref="J30:J35" si="15">M30+P30</f>
        <v>22958.39</v>
      </c>
      <c r="K30" s="59">
        <v>22958.39</v>
      </c>
      <c r="L30" s="60"/>
      <c r="M30" s="59"/>
      <c r="N30" s="59"/>
      <c r="O30" s="59"/>
      <c r="P30" s="59">
        <v>22958.39</v>
      </c>
      <c r="Q30" s="58">
        <f t="shared" si="1"/>
        <v>272958.39</v>
      </c>
    </row>
    <row r="31" spans="1:20" s="25" customFormat="1" ht="18.75">
      <c r="A31" s="23"/>
      <c r="B31" s="23"/>
      <c r="C31" s="23"/>
      <c r="D31" s="24" t="s">
        <v>412</v>
      </c>
      <c r="E31" s="66">
        <v>-700000</v>
      </c>
      <c r="F31" s="104">
        <v>-700000</v>
      </c>
      <c r="G31" s="104"/>
      <c r="H31" s="104">
        <v>-700000</v>
      </c>
      <c r="I31" s="104"/>
      <c r="J31" s="66"/>
      <c r="K31" s="104"/>
      <c r="L31" s="105"/>
      <c r="M31" s="104"/>
      <c r="N31" s="104"/>
      <c r="O31" s="104"/>
      <c r="P31" s="104"/>
      <c r="Q31" s="66">
        <f t="shared" si="1"/>
        <v>-700000</v>
      </c>
    </row>
    <row r="32" spans="1:20" s="25" customFormat="1" ht="18.75">
      <c r="A32" s="23"/>
      <c r="B32" s="23"/>
      <c r="C32" s="23"/>
      <c r="D32" s="24" t="s">
        <v>411</v>
      </c>
      <c r="E32" s="66">
        <v>700000</v>
      </c>
      <c r="F32" s="104">
        <v>700000</v>
      </c>
      <c r="G32" s="104"/>
      <c r="H32" s="104"/>
      <c r="I32" s="104"/>
      <c r="J32" s="66"/>
      <c r="K32" s="104"/>
      <c r="L32" s="105"/>
      <c r="M32" s="104"/>
      <c r="N32" s="104"/>
      <c r="O32" s="104"/>
      <c r="P32" s="104"/>
      <c r="Q32" s="66">
        <f t="shared" si="1"/>
        <v>700000</v>
      </c>
    </row>
    <row r="33" spans="1:19" s="20" customFormat="1" ht="79.5">
      <c r="A33" s="15" t="s">
        <v>115</v>
      </c>
      <c r="B33" s="15" t="s">
        <v>32</v>
      </c>
      <c r="C33" s="15" t="s">
        <v>33</v>
      </c>
      <c r="D33" s="19" t="s">
        <v>34</v>
      </c>
      <c r="E33" s="58">
        <f>F33+I33</f>
        <v>2204042</v>
      </c>
      <c r="F33" s="59">
        <f>554121+25000+25000+198750+13250+1400000-12079</f>
        <v>2204042</v>
      </c>
      <c r="G33" s="59"/>
      <c r="H33" s="59"/>
      <c r="I33" s="59"/>
      <c r="J33" s="58">
        <f t="shared" si="15"/>
        <v>774579</v>
      </c>
      <c r="K33" s="59">
        <f>365500+870000-1400000+927000+12079</f>
        <v>774579</v>
      </c>
      <c r="L33" s="60">
        <f>365500-1400000+927000+12079</f>
        <v>-95421</v>
      </c>
      <c r="M33" s="59"/>
      <c r="N33" s="59"/>
      <c r="O33" s="59"/>
      <c r="P33" s="59">
        <f>365500+870000-1400000+927000+12079</f>
        <v>774579</v>
      </c>
      <c r="Q33" s="58">
        <f t="shared" si="1"/>
        <v>2978621</v>
      </c>
      <c r="S33" s="33"/>
    </row>
    <row r="34" spans="1:19" s="20" customFormat="1" ht="79.5">
      <c r="A34" s="15" t="s">
        <v>117</v>
      </c>
      <c r="B34" s="15" t="s">
        <v>64</v>
      </c>
      <c r="C34" s="15" t="s">
        <v>37</v>
      </c>
      <c r="D34" s="19" t="s">
        <v>95</v>
      </c>
      <c r="E34" s="58">
        <f>F34</f>
        <v>0</v>
      </c>
      <c r="F34" s="59">
        <f>13250-13250</f>
        <v>0</v>
      </c>
      <c r="G34" s="59"/>
      <c r="H34" s="59"/>
      <c r="I34" s="59"/>
      <c r="J34" s="58">
        <f t="shared" si="15"/>
        <v>61735</v>
      </c>
      <c r="K34" s="59">
        <v>61735</v>
      </c>
      <c r="L34" s="60">
        <v>61735</v>
      </c>
      <c r="M34" s="59"/>
      <c r="N34" s="59"/>
      <c r="O34" s="59"/>
      <c r="P34" s="59">
        <v>61735</v>
      </c>
      <c r="Q34" s="58">
        <f t="shared" si="1"/>
        <v>61735</v>
      </c>
      <c r="S34" s="33"/>
    </row>
    <row r="35" spans="1:19" s="20" customFormat="1" ht="48">
      <c r="A35" s="15" t="s">
        <v>118</v>
      </c>
      <c r="B35" s="15" t="s">
        <v>22</v>
      </c>
      <c r="C35" s="15" t="s">
        <v>38</v>
      </c>
      <c r="D35" s="19" t="s">
        <v>39</v>
      </c>
      <c r="E35" s="58">
        <f t="shared" ref="E35:E40" si="16">F35+I35</f>
        <v>50000</v>
      </c>
      <c r="F35" s="59">
        <f>25000+25000</f>
        <v>50000</v>
      </c>
      <c r="G35" s="59"/>
      <c r="H35" s="59"/>
      <c r="I35" s="59"/>
      <c r="J35" s="58">
        <f t="shared" si="15"/>
        <v>300000</v>
      </c>
      <c r="K35" s="59">
        <v>300000</v>
      </c>
      <c r="L35" s="60">
        <v>300000</v>
      </c>
      <c r="M35" s="59"/>
      <c r="N35" s="59"/>
      <c r="O35" s="59"/>
      <c r="P35" s="59">
        <v>300000</v>
      </c>
      <c r="Q35" s="58">
        <f t="shared" si="1"/>
        <v>350000</v>
      </c>
      <c r="S35" s="33"/>
    </row>
    <row r="36" spans="1:19" s="20" customFormat="1" ht="32.25">
      <c r="A36" s="15" t="s">
        <v>260</v>
      </c>
      <c r="B36" s="15" t="s">
        <v>259</v>
      </c>
      <c r="C36" s="15" t="s">
        <v>41</v>
      </c>
      <c r="D36" s="19" t="s">
        <v>299</v>
      </c>
      <c r="E36" s="58">
        <f t="shared" si="16"/>
        <v>-1313700</v>
      </c>
      <c r="F36" s="59">
        <f>363000-1739700+63000</f>
        <v>-1313700</v>
      </c>
      <c r="G36" s="59">
        <f>363000-1700300+60500</f>
        <v>-1276800</v>
      </c>
      <c r="H36" s="59"/>
      <c r="I36" s="59"/>
      <c r="J36" s="58">
        <f>M36+P36</f>
        <v>0</v>
      </c>
      <c r="K36" s="59"/>
      <c r="L36" s="60"/>
      <c r="M36" s="59"/>
      <c r="N36" s="59"/>
      <c r="O36" s="59"/>
      <c r="P36" s="59"/>
      <c r="Q36" s="58">
        <f t="shared" si="1"/>
        <v>-1313700</v>
      </c>
      <c r="S36" s="33"/>
    </row>
    <row r="37" spans="1:19" s="20" customFormat="1" ht="32.25">
      <c r="A37" s="15" t="s">
        <v>402</v>
      </c>
      <c r="B37" s="15" t="s">
        <v>401</v>
      </c>
      <c r="C37" s="15" t="s">
        <v>41</v>
      </c>
      <c r="D37" s="19" t="s">
        <v>400</v>
      </c>
      <c r="E37" s="58">
        <f t="shared" si="16"/>
        <v>1013700</v>
      </c>
      <c r="F37" s="59">
        <f>1313700-363000+363000-300000</f>
        <v>1013700</v>
      </c>
      <c r="G37" s="59">
        <f>1276800-363000+363000-300000</f>
        <v>976800</v>
      </c>
      <c r="H37" s="59"/>
      <c r="I37" s="59"/>
      <c r="J37" s="58">
        <f>M37+P37</f>
        <v>363000</v>
      </c>
      <c r="K37" s="59">
        <f>363000</f>
        <v>363000</v>
      </c>
      <c r="L37" s="60">
        <f>363000</f>
        <v>363000</v>
      </c>
      <c r="M37" s="59"/>
      <c r="N37" s="59"/>
      <c r="O37" s="59"/>
      <c r="P37" s="59">
        <f>363000</f>
        <v>363000</v>
      </c>
      <c r="Q37" s="58">
        <f t="shared" si="1"/>
        <v>1376700</v>
      </c>
      <c r="S37" s="33"/>
    </row>
    <row r="38" spans="1:19" s="25" customFormat="1" ht="65.25" customHeight="1">
      <c r="A38" s="23"/>
      <c r="B38" s="23"/>
      <c r="C38" s="23"/>
      <c r="D38" s="103" t="s">
        <v>403</v>
      </c>
      <c r="E38" s="66">
        <f t="shared" si="16"/>
        <v>363000</v>
      </c>
      <c r="F38" s="104">
        <v>363000</v>
      </c>
      <c r="G38" s="104">
        <v>363000</v>
      </c>
      <c r="H38" s="104"/>
      <c r="I38" s="104"/>
      <c r="J38" s="66"/>
      <c r="K38" s="104"/>
      <c r="L38" s="105"/>
      <c r="M38" s="104"/>
      <c r="N38" s="104"/>
      <c r="O38" s="104"/>
      <c r="P38" s="104"/>
      <c r="Q38" s="66">
        <f>E38+J38</f>
        <v>363000</v>
      </c>
      <c r="S38" s="79"/>
    </row>
    <row r="39" spans="1:19" s="25" customFormat="1" ht="18.75">
      <c r="A39" s="23"/>
      <c r="B39" s="23"/>
      <c r="C39" s="23"/>
      <c r="D39" s="103" t="s">
        <v>404</v>
      </c>
      <c r="E39" s="66">
        <f t="shared" si="16"/>
        <v>-363000</v>
      </c>
      <c r="F39" s="104">
        <v>-363000</v>
      </c>
      <c r="G39" s="104">
        <v>-363000</v>
      </c>
      <c r="H39" s="104"/>
      <c r="I39" s="104"/>
      <c r="J39" s="66">
        <v>363000</v>
      </c>
      <c r="K39" s="104">
        <v>363000</v>
      </c>
      <c r="L39" s="105">
        <v>363000</v>
      </c>
      <c r="M39" s="104"/>
      <c r="N39" s="104"/>
      <c r="O39" s="104"/>
      <c r="P39" s="104">
        <v>363000</v>
      </c>
      <c r="Q39" s="66">
        <f>E39+J39</f>
        <v>0</v>
      </c>
      <c r="S39" s="79"/>
    </row>
    <row r="40" spans="1:19" s="20" customFormat="1" ht="32.25">
      <c r="A40" s="15" t="s">
        <v>129</v>
      </c>
      <c r="B40" s="15" t="s">
        <v>96</v>
      </c>
      <c r="C40" s="15" t="s">
        <v>44</v>
      </c>
      <c r="D40" s="11" t="s">
        <v>45</v>
      </c>
      <c r="E40" s="58">
        <f t="shared" si="16"/>
        <v>400000</v>
      </c>
      <c r="F40" s="59">
        <f>25000+25000+350000</f>
        <v>400000</v>
      </c>
      <c r="G40" s="59"/>
      <c r="H40" s="59"/>
      <c r="I40" s="59"/>
      <c r="J40" s="58"/>
      <c r="K40" s="59"/>
      <c r="L40" s="60"/>
      <c r="M40" s="59"/>
      <c r="N40" s="59"/>
      <c r="O40" s="59"/>
      <c r="P40" s="59"/>
      <c r="Q40" s="58">
        <f t="shared" si="1"/>
        <v>400000</v>
      </c>
      <c r="S40" s="33"/>
    </row>
    <row r="41" spans="1:19" s="20" customFormat="1" ht="32.25">
      <c r="A41" s="17" t="s">
        <v>130</v>
      </c>
      <c r="B41" s="17"/>
      <c r="C41" s="17"/>
      <c r="D41" s="18" t="s">
        <v>15</v>
      </c>
      <c r="E41" s="63">
        <f>E42</f>
        <v>-1099000</v>
      </c>
      <c r="F41" s="63">
        <f t="shared" ref="F41:P41" si="17">F42</f>
        <v>-1099000</v>
      </c>
      <c r="G41" s="63">
        <f t="shared" si="17"/>
        <v>0</v>
      </c>
      <c r="H41" s="63">
        <f t="shared" si="17"/>
        <v>0</v>
      </c>
      <c r="I41" s="63">
        <f t="shared" si="17"/>
        <v>0</v>
      </c>
      <c r="J41" s="63">
        <f t="shared" si="17"/>
        <v>0</v>
      </c>
      <c r="K41" s="63">
        <f t="shared" si="17"/>
        <v>0</v>
      </c>
      <c r="L41" s="64">
        <f t="shared" si="17"/>
        <v>0</v>
      </c>
      <c r="M41" s="63">
        <f t="shared" si="17"/>
        <v>0</v>
      </c>
      <c r="N41" s="63">
        <f t="shared" si="17"/>
        <v>0</v>
      </c>
      <c r="O41" s="63">
        <f t="shared" si="17"/>
        <v>0</v>
      </c>
      <c r="P41" s="63">
        <f t="shared" si="17"/>
        <v>0</v>
      </c>
      <c r="Q41" s="63">
        <f>Q42</f>
        <v>-1099000</v>
      </c>
      <c r="S41" s="33"/>
    </row>
    <row r="42" spans="1:19" s="20" customFormat="1" ht="32.25">
      <c r="A42" s="17" t="s">
        <v>131</v>
      </c>
      <c r="B42" s="15"/>
      <c r="C42" s="15"/>
      <c r="D42" s="18" t="s">
        <v>15</v>
      </c>
      <c r="E42" s="63">
        <f>F42+I42</f>
        <v>-1099000</v>
      </c>
      <c r="F42" s="63">
        <f>F43+F44+F45+F46+F47+F48+F49+F50</f>
        <v>-1099000</v>
      </c>
      <c r="G42" s="63">
        <f t="shared" ref="G42:P42" si="18">G50</f>
        <v>0</v>
      </c>
      <c r="H42" s="63">
        <f t="shared" si="18"/>
        <v>0</v>
      </c>
      <c r="I42" s="63">
        <f t="shared" si="18"/>
        <v>0</v>
      </c>
      <c r="J42" s="63">
        <f t="shared" si="18"/>
        <v>0</v>
      </c>
      <c r="K42" s="63">
        <f t="shared" si="18"/>
        <v>0</v>
      </c>
      <c r="L42" s="64">
        <f t="shared" si="18"/>
        <v>0</v>
      </c>
      <c r="M42" s="63">
        <f t="shared" si="18"/>
        <v>0</v>
      </c>
      <c r="N42" s="63">
        <f t="shared" si="18"/>
        <v>0</v>
      </c>
      <c r="O42" s="63">
        <f t="shared" si="18"/>
        <v>0</v>
      </c>
      <c r="P42" s="63">
        <f t="shared" si="18"/>
        <v>0</v>
      </c>
      <c r="Q42" s="63">
        <f>E42+J42</f>
        <v>-1099000</v>
      </c>
      <c r="S42" s="33"/>
    </row>
    <row r="43" spans="1:19" s="20" customFormat="1" ht="48">
      <c r="A43" s="15" t="s">
        <v>132</v>
      </c>
      <c r="B43" s="15" t="s">
        <v>110</v>
      </c>
      <c r="C43" s="15" t="s">
        <v>21</v>
      </c>
      <c r="D43" s="14" t="s">
        <v>112</v>
      </c>
      <c r="E43" s="58">
        <f>F43</f>
        <v>196000</v>
      </c>
      <c r="F43" s="58">
        <f>96000+100000</f>
        <v>196000</v>
      </c>
      <c r="G43" s="58"/>
      <c r="H43" s="58"/>
      <c r="I43" s="58"/>
      <c r="J43" s="58"/>
      <c r="K43" s="58"/>
      <c r="L43" s="65"/>
      <c r="M43" s="58"/>
      <c r="N43" s="58"/>
      <c r="O43" s="58"/>
      <c r="P43" s="58"/>
      <c r="Q43" s="58">
        <f>E43+J43</f>
        <v>196000</v>
      </c>
      <c r="S43" s="33"/>
    </row>
    <row r="44" spans="1:19" s="20" customFormat="1" ht="32.25">
      <c r="A44" s="15" t="s">
        <v>205</v>
      </c>
      <c r="B44" s="15" t="s">
        <v>66</v>
      </c>
      <c r="C44" s="15" t="s">
        <v>42</v>
      </c>
      <c r="D44" s="14" t="s">
        <v>67</v>
      </c>
      <c r="E44" s="58">
        <f>F44</f>
        <v>-238000</v>
      </c>
      <c r="F44" s="58">
        <v>-238000</v>
      </c>
      <c r="G44" s="58"/>
      <c r="H44" s="58"/>
      <c r="I44" s="58"/>
      <c r="J44" s="58"/>
      <c r="K44" s="58"/>
      <c r="L44" s="65"/>
      <c r="M44" s="58"/>
      <c r="N44" s="58"/>
      <c r="O44" s="58"/>
      <c r="P44" s="58"/>
      <c r="Q44" s="58">
        <f t="shared" ref="Q44:Q49" si="19">E44+J44</f>
        <v>-238000</v>
      </c>
      <c r="S44" s="33"/>
    </row>
    <row r="45" spans="1:19" s="20" customFormat="1" ht="18.75">
      <c r="A45" s="15" t="s">
        <v>207</v>
      </c>
      <c r="B45" s="15" t="s">
        <v>69</v>
      </c>
      <c r="C45" s="15" t="s">
        <v>42</v>
      </c>
      <c r="D45" s="14" t="s">
        <v>70</v>
      </c>
      <c r="E45" s="58">
        <f t="shared" ref="E45:E49" si="20">F45</f>
        <v>-2367000</v>
      </c>
      <c r="F45" s="58">
        <f>-2167000-200000</f>
        <v>-2367000</v>
      </c>
      <c r="G45" s="58"/>
      <c r="H45" s="58"/>
      <c r="I45" s="58"/>
      <c r="J45" s="58"/>
      <c r="K45" s="58"/>
      <c r="L45" s="65"/>
      <c r="M45" s="58"/>
      <c r="N45" s="58"/>
      <c r="O45" s="58"/>
      <c r="P45" s="58"/>
      <c r="Q45" s="58">
        <f t="shared" si="19"/>
        <v>-2367000</v>
      </c>
      <c r="S45" s="33"/>
    </row>
    <row r="46" spans="1:19" s="20" customFormat="1" ht="18.75">
      <c r="A46" s="15" t="s">
        <v>209</v>
      </c>
      <c r="B46" s="15" t="s">
        <v>75</v>
      </c>
      <c r="C46" s="15" t="s">
        <v>42</v>
      </c>
      <c r="D46" s="14" t="s">
        <v>74</v>
      </c>
      <c r="E46" s="58">
        <f t="shared" si="20"/>
        <v>-360000</v>
      </c>
      <c r="F46" s="58">
        <v>-360000</v>
      </c>
      <c r="G46" s="58"/>
      <c r="H46" s="58"/>
      <c r="I46" s="58"/>
      <c r="J46" s="58"/>
      <c r="K46" s="58"/>
      <c r="L46" s="65"/>
      <c r="M46" s="58"/>
      <c r="N46" s="58"/>
      <c r="O46" s="58"/>
      <c r="P46" s="58"/>
      <c r="Q46" s="58">
        <f t="shared" si="19"/>
        <v>-360000</v>
      </c>
      <c r="S46" s="33"/>
    </row>
    <row r="47" spans="1:19" s="20" customFormat="1" ht="18.75">
      <c r="A47" s="15" t="s">
        <v>210</v>
      </c>
      <c r="B47" s="15" t="s">
        <v>73</v>
      </c>
      <c r="C47" s="15" t="s">
        <v>42</v>
      </c>
      <c r="D47" s="14" t="s">
        <v>102</v>
      </c>
      <c r="E47" s="58">
        <f t="shared" si="20"/>
        <v>-280000</v>
      </c>
      <c r="F47" s="58">
        <v>-280000</v>
      </c>
      <c r="G47" s="58"/>
      <c r="H47" s="58"/>
      <c r="I47" s="58"/>
      <c r="J47" s="58"/>
      <c r="K47" s="58"/>
      <c r="L47" s="65"/>
      <c r="M47" s="58"/>
      <c r="N47" s="58"/>
      <c r="O47" s="58"/>
      <c r="P47" s="58"/>
      <c r="Q47" s="58">
        <f t="shared" si="19"/>
        <v>-280000</v>
      </c>
      <c r="S47" s="33"/>
    </row>
    <row r="48" spans="1:19" s="20" customFormat="1" ht="63.75">
      <c r="A48" s="15" t="s">
        <v>374</v>
      </c>
      <c r="B48" s="15" t="s">
        <v>375</v>
      </c>
      <c r="C48" s="15" t="s">
        <v>42</v>
      </c>
      <c r="D48" s="11" t="s">
        <v>376</v>
      </c>
      <c r="E48" s="58">
        <f t="shared" si="20"/>
        <v>-250000</v>
      </c>
      <c r="F48" s="58">
        <v>-250000</v>
      </c>
      <c r="G48" s="58"/>
      <c r="H48" s="58"/>
      <c r="I48" s="58"/>
      <c r="J48" s="58"/>
      <c r="K48" s="58"/>
      <c r="L48" s="65"/>
      <c r="M48" s="58"/>
      <c r="N48" s="58"/>
      <c r="O48" s="58"/>
      <c r="P48" s="58"/>
      <c r="Q48" s="58">
        <f t="shared" si="19"/>
        <v>-250000</v>
      </c>
      <c r="S48" s="33"/>
    </row>
    <row r="49" spans="1:20" s="20" customFormat="1" ht="32.25">
      <c r="A49" s="15" t="s">
        <v>408</v>
      </c>
      <c r="B49" s="15" t="s">
        <v>409</v>
      </c>
      <c r="C49" s="15" t="s">
        <v>42</v>
      </c>
      <c r="D49" s="11" t="s">
        <v>410</v>
      </c>
      <c r="E49" s="58">
        <f t="shared" si="20"/>
        <v>200000</v>
      </c>
      <c r="F49" s="58">
        <v>200000</v>
      </c>
      <c r="G49" s="58"/>
      <c r="H49" s="58"/>
      <c r="I49" s="58"/>
      <c r="J49" s="58"/>
      <c r="K49" s="58"/>
      <c r="L49" s="65"/>
      <c r="M49" s="58"/>
      <c r="N49" s="58"/>
      <c r="O49" s="58"/>
      <c r="P49" s="58"/>
      <c r="Q49" s="58">
        <f t="shared" si="19"/>
        <v>200000</v>
      </c>
      <c r="S49" s="33"/>
    </row>
    <row r="50" spans="1:20" s="20" customFormat="1" ht="32.25">
      <c r="A50" s="15" t="s">
        <v>297</v>
      </c>
      <c r="B50" s="15" t="s">
        <v>293</v>
      </c>
      <c r="C50" s="15" t="s">
        <v>22</v>
      </c>
      <c r="D50" s="11" t="s">
        <v>294</v>
      </c>
      <c r="E50" s="58">
        <f>F50+I50</f>
        <v>2000000</v>
      </c>
      <c r="F50" s="59">
        <v>2000000</v>
      </c>
      <c r="G50" s="59"/>
      <c r="H50" s="59"/>
      <c r="I50" s="59"/>
      <c r="J50" s="58">
        <f>M50+P50</f>
        <v>0</v>
      </c>
      <c r="K50" s="59"/>
      <c r="L50" s="60"/>
      <c r="M50" s="59"/>
      <c r="N50" s="59"/>
      <c r="O50" s="59"/>
      <c r="P50" s="59"/>
      <c r="Q50" s="58">
        <f>E50+J50</f>
        <v>2000000</v>
      </c>
      <c r="S50" s="33"/>
    </row>
    <row r="51" spans="1:20" s="20" customFormat="1" ht="32.25">
      <c r="A51" s="17" t="s">
        <v>139</v>
      </c>
      <c r="B51" s="17"/>
      <c r="C51" s="17"/>
      <c r="D51" s="18" t="s">
        <v>10</v>
      </c>
      <c r="E51" s="63">
        <f>E52</f>
        <v>448977</v>
      </c>
      <c r="F51" s="63">
        <f>F52</f>
        <v>448977</v>
      </c>
      <c r="G51" s="68"/>
      <c r="H51" s="68"/>
      <c r="I51" s="68"/>
      <c r="J51" s="63">
        <f>J52</f>
        <v>-5290000</v>
      </c>
      <c r="K51" s="63">
        <f t="shared" ref="K51:P51" si="21">K52</f>
        <v>-5290000</v>
      </c>
      <c r="L51" s="63">
        <f t="shared" si="21"/>
        <v>-5290000</v>
      </c>
      <c r="M51" s="63">
        <f t="shared" si="21"/>
        <v>0</v>
      </c>
      <c r="N51" s="63">
        <f t="shared" si="21"/>
        <v>0</v>
      </c>
      <c r="O51" s="63">
        <f t="shared" si="21"/>
        <v>0</v>
      </c>
      <c r="P51" s="63">
        <f t="shared" si="21"/>
        <v>-5290000</v>
      </c>
      <c r="Q51" s="63">
        <f>E51+J51</f>
        <v>-4841023</v>
      </c>
      <c r="S51" s="33"/>
    </row>
    <row r="52" spans="1:20" s="20" customFormat="1" ht="32.25">
      <c r="A52" s="17" t="s">
        <v>140</v>
      </c>
      <c r="B52" s="15"/>
      <c r="C52" s="15"/>
      <c r="D52" s="18" t="s">
        <v>10</v>
      </c>
      <c r="E52" s="63">
        <f>F52+I52</f>
        <v>448977</v>
      </c>
      <c r="F52" s="68">
        <f>F53+F54+F55+F56</f>
        <v>448977</v>
      </c>
      <c r="G52" s="68"/>
      <c r="H52" s="68"/>
      <c r="I52" s="68"/>
      <c r="J52" s="63">
        <f>J57</f>
        <v>-5290000</v>
      </c>
      <c r="K52" s="63">
        <f t="shared" ref="K52:P52" si="22">K57</f>
        <v>-5290000</v>
      </c>
      <c r="L52" s="63">
        <f t="shared" si="22"/>
        <v>-5290000</v>
      </c>
      <c r="M52" s="63">
        <f t="shared" si="22"/>
        <v>0</v>
      </c>
      <c r="N52" s="63">
        <f t="shared" si="22"/>
        <v>0</v>
      </c>
      <c r="O52" s="63">
        <f t="shared" si="22"/>
        <v>0</v>
      </c>
      <c r="P52" s="63">
        <f t="shared" si="22"/>
        <v>-5290000</v>
      </c>
      <c r="Q52" s="63">
        <f t="shared" ref="Q52:Q62" si="23">E52+J52</f>
        <v>-4841023</v>
      </c>
      <c r="S52" s="33"/>
    </row>
    <row r="53" spans="1:20" s="20" customFormat="1" ht="63.75">
      <c r="A53" s="15" t="s">
        <v>151</v>
      </c>
      <c r="B53" s="15" t="s">
        <v>150</v>
      </c>
      <c r="C53" s="15" t="s">
        <v>38</v>
      </c>
      <c r="D53" s="14" t="s">
        <v>152</v>
      </c>
      <c r="E53" s="58">
        <f>F53+I53</f>
        <v>25000</v>
      </c>
      <c r="F53" s="59">
        <f>25000</f>
        <v>25000</v>
      </c>
      <c r="G53" s="59"/>
      <c r="H53" s="59"/>
      <c r="I53" s="59"/>
      <c r="J53" s="58"/>
      <c r="K53" s="59"/>
      <c r="L53" s="60"/>
      <c r="M53" s="59"/>
      <c r="N53" s="59"/>
      <c r="O53" s="59"/>
      <c r="P53" s="59"/>
      <c r="Q53" s="58">
        <f t="shared" si="23"/>
        <v>25000</v>
      </c>
      <c r="S53" s="33"/>
    </row>
    <row r="54" spans="1:20" s="20" customFormat="1" ht="18.75">
      <c r="A54" s="15" t="s">
        <v>143</v>
      </c>
      <c r="B54" s="15" t="s">
        <v>142</v>
      </c>
      <c r="C54" s="15" t="s">
        <v>83</v>
      </c>
      <c r="D54" s="11" t="s">
        <v>144</v>
      </c>
      <c r="E54" s="58">
        <f>F54+I54</f>
        <v>167858</v>
      </c>
      <c r="F54" s="59">
        <f>50000+25000+92858</f>
        <v>167858</v>
      </c>
      <c r="G54" s="59"/>
      <c r="H54" s="59"/>
      <c r="I54" s="59"/>
      <c r="J54" s="58"/>
      <c r="K54" s="59"/>
      <c r="L54" s="60"/>
      <c r="M54" s="59"/>
      <c r="N54" s="59"/>
      <c r="O54" s="59"/>
      <c r="P54" s="59"/>
      <c r="Q54" s="58">
        <f t="shared" si="23"/>
        <v>167858</v>
      </c>
      <c r="S54" s="33"/>
    </row>
    <row r="55" spans="1:20" s="20" customFormat="1" ht="18.75">
      <c r="A55" s="15" t="s">
        <v>146</v>
      </c>
      <c r="B55" s="15" t="s">
        <v>145</v>
      </c>
      <c r="C55" s="15" t="s">
        <v>83</v>
      </c>
      <c r="D55" s="11" t="s">
        <v>147</v>
      </c>
      <c r="E55" s="58">
        <f t="shared" ref="E55:E56" si="24">F55+I55</f>
        <v>111119</v>
      </c>
      <c r="F55" s="59">
        <f>29500+25000+56619</f>
        <v>111119</v>
      </c>
      <c r="G55" s="59"/>
      <c r="H55" s="59"/>
      <c r="I55" s="59"/>
      <c r="J55" s="58"/>
      <c r="K55" s="59"/>
      <c r="L55" s="60"/>
      <c r="M55" s="59"/>
      <c r="N55" s="59"/>
      <c r="O55" s="59"/>
      <c r="P55" s="59"/>
      <c r="Q55" s="58">
        <f t="shared" si="23"/>
        <v>111119</v>
      </c>
      <c r="S55" s="33"/>
    </row>
    <row r="56" spans="1:20" s="20" customFormat="1" ht="48">
      <c r="A56" s="15" t="s">
        <v>148</v>
      </c>
      <c r="B56" s="15" t="s">
        <v>82</v>
      </c>
      <c r="C56" s="15" t="s">
        <v>84</v>
      </c>
      <c r="D56" s="11" t="s">
        <v>149</v>
      </c>
      <c r="E56" s="58">
        <f t="shared" si="24"/>
        <v>145000</v>
      </c>
      <c r="F56" s="59">
        <f>120000+25000</f>
        <v>145000</v>
      </c>
      <c r="G56" s="59"/>
      <c r="H56" s="59"/>
      <c r="I56" s="59"/>
      <c r="J56" s="58"/>
      <c r="K56" s="59"/>
      <c r="L56" s="60"/>
      <c r="M56" s="59"/>
      <c r="N56" s="59"/>
      <c r="O56" s="59"/>
      <c r="P56" s="59"/>
      <c r="Q56" s="58">
        <f t="shared" si="23"/>
        <v>145000</v>
      </c>
      <c r="S56" s="33"/>
    </row>
    <row r="57" spans="1:20" s="13" customFormat="1" ht="32.25">
      <c r="A57" s="15" t="s">
        <v>383</v>
      </c>
      <c r="B57" s="15" t="s">
        <v>266</v>
      </c>
      <c r="C57" s="15" t="s">
        <v>46</v>
      </c>
      <c r="D57" s="14" t="s">
        <v>233</v>
      </c>
      <c r="E57" s="76"/>
      <c r="F57" s="83"/>
      <c r="G57" s="83"/>
      <c r="H57" s="83"/>
      <c r="I57" s="83"/>
      <c r="J57" s="76">
        <f t="shared" ref="J57:J58" si="25">M57+P57</f>
        <v>-5290000</v>
      </c>
      <c r="K57" s="83">
        <f>-5180000-110000</f>
        <v>-5290000</v>
      </c>
      <c r="L57" s="84">
        <f>-5180000-110000</f>
        <v>-5290000</v>
      </c>
      <c r="M57" s="83"/>
      <c r="N57" s="83"/>
      <c r="O57" s="83"/>
      <c r="P57" s="83">
        <v>-5290000</v>
      </c>
      <c r="Q57" s="83">
        <f t="shared" si="23"/>
        <v>-5290000</v>
      </c>
    </row>
    <row r="58" spans="1:20" s="41" customFormat="1" ht="18.75">
      <c r="A58" s="23"/>
      <c r="B58" s="23"/>
      <c r="C58" s="23"/>
      <c r="D58" s="36" t="s">
        <v>384</v>
      </c>
      <c r="E58" s="78"/>
      <c r="F58" s="85"/>
      <c r="G58" s="85"/>
      <c r="H58" s="85"/>
      <c r="I58" s="85"/>
      <c r="J58" s="78">
        <f t="shared" si="25"/>
        <v>-5290000</v>
      </c>
      <c r="K58" s="85">
        <v>-5290000</v>
      </c>
      <c r="L58" s="86">
        <v>-5290000</v>
      </c>
      <c r="M58" s="85"/>
      <c r="N58" s="85"/>
      <c r="O58" s="85"/>
      <c r="P58" s="85">
        <v>-5290000</v>
      </c>
      <c r="Q58" s="85">
        <f t="shared" si="23"/>
        <v>-5290000</v>
      </c>
    </row>
    <row r="59" spans="1:20" s="20" customFormat="1" ht="32.25">
      <c r="A59" s="17" t="s">
        <v>47</v>
      </c>
      <c r="B59" s="17"/>
      <c r="C59" s="17"/>
      <c r="D59" s="18" t="s">
        <v>13</v>
      </c>
      <c r="E59" s="63">
        <f>E60</f>
        <v>-171300</v>
      </c>
      <c r="F59" s="63">
        <f>F60</f>
        <v>-171300</v>
      </c>
      <c r="G59" s="68"/>
      <c r="H59" s="68"/>
      <c r="I59" s="68"/>
      <c r="J59" s="63"/>
      <c r="K59" s="68"/>
      <c r="L59" s="69"/>
      <c r="M59" s="68"/>
      <c r="N59" s="68"/>
      <c r="O59" s="68"/>
      <c r="P59" s="68"/>
      <c r="Q59" s="63">
        <f t="shared" si="23"/>
        <v>-171300</v>
      </c>
      <c r="S59" s="33"/>
    </row>
    <row r="60" spans="1:20" s="20" customFormat="1" ht="32.25">
      <c r="A60" s="17" t="s">
        <v>48</v>
      </c>
      <c r="B60" s="17"/>
      <c r="C60" s="17"/>
      <c r="D60" s="18" t="s">
        <v>13</v>
      </c>
      <c r="E60" s="63">
        <f>E61+E62</f>
        <v>-171300</v>
      </c>
      <c r="F60" s="68">
        <f>F61+F62</f>
        <v>-171300</v>
      </c>
      <c r="G60" s="68"/>
      <c r="H60" s="68"/>
      <c r="I60" s="68"/>
      <c r="J60" s="63"/>
      <c r="K60" s="68"/>
      <c r="L60" s="69"/>
      <c r="M60" s="68"/>
      <c r="N60" s="68"/>
      <c r="O60" s="68"/>
      <c r="P60" s="68"/>
      <c r="Q60" s="63">
        <f t="shared" si="23"/>
        <v>-171300</v>
      </c>
      <c r="S60" s="33"/>
    </row>
    <row r="61" spans="1:20" s="20" customFormat="1" ht="48">
      <c r="A61" s="15" t="s">
        <v>153</v>
      </c>
      <c r="B61" s="15" t="s">
        <v>110</v>
      </c>
      <c r="C61" s="15" t="s">
        <v>21</v>
      </c>
      <c r="D61" s="14" t="s">
        <v>112</v>
      </c>
      <c r="E61" s="58">
        <f>F61+I61</f>
        <v>178700</v>
      </c>
      <c r="F61" s="59">
        <f>198700+50000-70000</f>
        <v>178700</v>
      </c>
      <c r="G61" s="59"/>
      <c r="H61" s="59"/>
      <c r="I61" s="59"/>
      <c r="J61" s="58"/>
      <c r="K61" s="59"/>
      <c r="L61" s="60"/>
      <c r="M61" s="59"/>
      <c r="N61" s="59"/>
      <c r="O61" s="59"/>
      <c r="P61" s="59"/>
      <c r="Q61" s="58">
        <f t="shared" si="23"/>
        <v>178700</v>
      </c>
      <c r="S61" s="33"/>
    </row>
    <row r="62" spans="1:20" s="20" customFormat="1" ht="63.75">
      <c r="A62" s="15" t="s">
        <v>98</v>
      </c>
      <c r="B62" s="15" t="s">
        <v>99</v>
      </c>
      <c r="C62" s="15" t="s">
        <v>44</v>
      </c>
      <c r="D62" s="14" t="s">
        <v>100</v>
      </c>
      <c r="E62" s="58">
        <f>F62+I62</f>
        <v>-350000</v>
      </c>
      <c r="F62" s="59">
        <v>-350000</v>
      </c>
      <c r="G62" s="59"/>
      <c r="H62" s="59"/>
      <c r="I62" s="59"/>
      <c r="J62" s="58"/>
      <c r="K62" s="59"/>
      <c r="L62" s="60"/>
      <c r="M62" s="59"/>
      <c r="N62" s="59"/>
      <c r="O62" s="59"/>
      <c r="P62" s="59"/>
      <c r="Q62" s="58">
        <f t="shared" si="23"/>
        <v>-350000</v>
      </c>
      <c r="S62" s="33"/>
    </row>
    <row r="63" spans="1:20" s="42" customFormat="1" ht="48">
      <c r="A63" s="17" t="s">
        <v>158</v>
      </c>
      <c r="B63" s="17"/>
      <c r="C63" s="17"/>
      <c r="D63" s="18" t="s">
        <v>16</v>
      </c>
      <c r="E63" s="68">
        <f>E64</f>
        <v>1370550</v>
      </c>
      <c r="F63" s="68">
        <f>F64</f>
        <v>1290550</v>
      </c>
      <c r="G63" s="68">
        <f t="shared" ref="G63:P63" si="26">G64</f>
        <v>0</v>
      </c>
      <c r="H63" s="68">
        <f t="shared" si="26"/>
        <v>0</v>
      </c>
      <c r="I63" s="68">
        <f t="shared" si="26"/>
        <v>80000</v>
      </c>
      <c r="J63" s="68">
        <f t="shared" si="26"/>
        <v>29143512.120000001</v>
      </c>
      <c r="K63" s="68">
        <f t="shared" si="26"/>
        <v>27719907.41</v>
      </c>
      <c r="L63" s="69">
        <f t="shared" si="26"/>
        <v>21432408.210000001</v>
      </c>
      <c r="M63" s="68">
        <f t="shared" si="26"/>
        <v>146000</v>
      </c>
      <c r="N63" s="68">
        <f t="shared" si="26"/>
        <v>0</v>
      </c>
      <c r="O63" s="68">
        <f t="shared" si="26"/>
        <v>0</v>
      </c>
      <c r="P63" s="68">
        <f t="shared" si="26"/>
        <v>28997512.120000001</v>
      </c>
      <c r="Q63" s="68">
        <f t="shared" ref="Q63" si="27">E63+J63</f>
        <v>30514062.120000001</v>
      </c>
      <c r="R63" s="38"/>
      <c r="S63" s="38"/>
      <c r="T63" s="38"/>
    </row>
    <row r="64" spans="1:20" s="43" customFormat="1" ht="48">
      <c r="A64" s="17" t="s">
        <v>159</v>
      </c>
      <c r="B64" s="15"/>
      <c r="C64" s="15"/>
      <c r="D64" s="18" t="s">
        <v>16</v>
      </c>
      <c r="E64" s="63">
        <f>E65+E66+E67+E70+E71+E72+E73+E74+E75+E76+E77+E78</f>
        <v>1370550</v>
      </c>
      <c r="F64" s="63">
        <f>F65+F66+F67+F70+F71+F72+F73+F74+F75+F76+F77+F78</f>
        <v>1290550</v>
      </c>
      <c r="G64" s="63">
        <f t="shared" ref="G64:I64" si="28">G66+G67+G70+G71+G72+G73+G74+G75+G76+G77+G78</f>
        <v>0</v>
      </c>
      <c r="H64" s="63">
        <f t="shared" si="28"/>
        <v>0</v>
      </c>
      <c r="I64" s="63">
        <f t="shared" si="28"/>
        <v>80000</v>
      </c>
      <c r="J64" s="63">
        <f>J66+J67+J69+J70+J71+J72+J73+J74+J75+J76+J77+J78</f>
        <v>29143512.120000001</v>
      </c>
      <c r="K64" s="63">
        <f t="shared" ref="K64:P64" si="29">K66+K67+K69+K70+K71+K72+K73+K74+K75+K76+K77+K78</f>
        <v>27719907.41</v>
      </c>
      <c r="L64" s="63">
        <f t="shared" si="29"/>
        <v>21432408.210000001</v>
      </c>
      <c r="M64" s="63">
        <f t="shared" si="29"/>
        <v>146000</v>
      </c>
      <c r="N64" s="63">
        <f t="shared" si="29"/>
        <v>0</v>
      </c>
      <c r="O64" s="63">
        <f t="shared" si="29"/>
        <v>0</v>
      </c>
      <c r="P64" s="63">
        <f t="shared" si="29"/>
        <v>28997512.120000001</v>
      </c>
      <c r="Q64" s="68">
        <f>E64+J64</f>
        <v>30514062.120000001</v>
      </c>
      <c r="R64" s="13"/>
      <c r="S64" s="13"/>
      <c r="T64" s="13"/>
    </row>
    <row r="65" spans="1:20" s="43" customFormat="1" ht="48">
      <c r="A65" s="15" t="s">
        <v>160</v>
      </c>
      <c r="B65" s="15" t="s">
        <v>110</v>
      </c>
      <c r="C65" s="15" t="s">
        <v>21</v>
      </c>
      <c r="D65" s="14" t="s">
        <v>112</v>
      </c>
      <c r="E65" s="58">
        <f>F65+I65</f>
        <v>155800</v>
      </c>
      <c r="F65" s="58">
        <f>55800+30000+70000</f>
        <v>155800</v>
      </c>
      <c r="G65" s="58"/>
      <c r="H65" s="58"/>
      <c r="I65" s="58"/>
      <c r="J65" s="58"/>
      <c r="K65" s="58"/>
      <c r="L65" s="65"/>
      <c r="M65" s="58"/>
      <c r="N65" s="58"/>
      <c r="O65" s="58"/>
      <c r="P65" s="58"/>
      <c r="Q65" s="59">
        <f>E65+J65</f>
        <v>155800</v>
      </c>
      <c r="R65" s="13"/>
      <c r="S65" s="13"/>
      <c r="T65" s="13"/>
    </row>
    <row r="66" spans="1:20" s="43" customFormat="1" ht="32.25">
      <c r="A66" s="15" t="s">
        <v>176</v>
      </c>
      <c r="B66" s="15" t="s">
        <v>175</v>
      </c>
      <c r="C66" s="15" t="s">
        <v>86</v>
      </c>
      <c r="D66" s="11" t="s">
        <v>177</v>
      </c>
      <c r="E66" s="58">
        <f t="shared" ref="E66:E78" si="30">F66+I66</f>
        <v>409030</v>
      </c>
      <c r="F66" s="59">
        <f>10000+75000+30000+200000+29030+65000</f>
        <v>409030</v>
      </c>
      <c r="G66" s="58"/>
      <c r="H66" s="58"/>
      <c r="I66" s="58"/>
      <c r="J66" s="58">
        <f t="shared" ref="J66:J78" si="31">M66+P66</f>
        <v>8253858.3200000003</v>
      </c>
      <c r="K66" s="58">
        <f>7133758.32+1000100+120000</f>
        <v>8253858.3200000003</v>
      </c>
      <c r="L66" s="65">
        <f>6008758.32+1000100-50+120000</f>
        <v>7128808.3200000003</v>
      </c>
      <c r="M66" s="58"/>
      <c r="N66" s="58"/>
      <c r="O66" s="58"/>
      <c r="P66" s="58">
        <f>7133758.32+1000100+120000</f>
        <v>8253858.3200000003</v>
      </c>
      <c r="Q66" s="58">
        <f>E66+J66</f>
        <v>8662888.3200000003</v>
      </c>
      <c r="R66" s="13"/>
      <c r="S66" s="13"/>
      <c r="T66" s="13"/>
    </row>
    <row r="67" spans="1:20" s="43" customFormat="1" ht="32.25">
      <c r="A67" s="15" t="s">
        <v>236</v>
      </c>
      <c r="B67" s="15" t="s">
        <v>235</v>
      </c>
      <c r="C67" s="15" t="s">
        <v>28</v>
      </c>
      <c r="D67" s="11" t="s">
        <v>237</v>
      </c>
      <c r="E67" s="58">
        <f>F67+I67</f>
        <v>-2129200</v>
      </c>
      <c r="F67" s="59">
        <v>-2129200</v>
      </c>
      <c r="G67" s="58"/>
      <c r="H67" s="58"/>
      <c r="I67" s="58"/>
      <c r="J67" s="58">
        <f t="shared" si="31"/>
        <v>2129200</v>
      </c>
      <c r="K67" s="58">
        <f>2129200</f>
        <v>2129200</v>
      </c>
      <c r="L67" s="65">
        <f>2129200</f>
        <v>2129200</v>
      </c>
      <c r="M67" s="58"/>
      <c r="N67" s="58"/>
      <c r="O67" s="58"/>
      <c r="P67" s="58">
        <f>2129200</f>
        <v>2129200</v>
      </c>
      <c r="Q67" s="58">
        <f t="shared" ref="Q67:Q78" si="32">E67+J67</f>
        <v>0</v>
      </c>
      <c r="R67" s="13"/>
      <c r="S67" s="13"/>
      <c r="T67" s="13"/>
    </row>
    <row r="68" spans="1:20" s="57" customFormat="1" ht="18.75">
      <c r="A68" s="23"/>
      <c r="B68" s="23"/>
      <c r="C68" s="23"/>
      <c r="D68" s="24" t="s">
        <v>384</v>
      </c>
      <c r="E68" s="78">
        <f>F68+I68</f>
        <v>-2500000</v>
      </c>
      <c r="F68" s="85">
        <v>-2500000</v>
      </c>
      <c r="G68" s="78"/>
      <c r="H68" s="78"/>
      <c r="I68" s="78"/>
      <c r="J68" s="78">
        <f>K68</f>
        <v>-3500000</v>
      </c>
      <c r="K68" s="78">
        <v>-3500000</v>
      </c>
      <c r="L68" s="81"/>
      <c r="M68" s="78"/>
      <c r="N68" s="78"/>
      <c r="O68" s="78"/>
      <c r="P68" s="78">
        <v>-3500000</v>
      </c>
      <c r="Q68" s="78">
        <f>E68+J68</f>
        <v>-6000000</v>
      </c>
      <c r="R68" s="41"/>
      <c r="S68" s="41"/>
      <c r="T68" s="41"/>
    </row>
    <row r="69" spans="1:20" s="57" customFormat="1" ht="32.25">
      <c r="A69" s="15" t="s">
        <v>230</v>
      </c>
      <c r="B69" s="15" t="s">
        <v>229</v>
      </c>
      <c r="C69" s="15" t="s">
        <v>28</v>
      </c>
      <c r="D69" s="11" t="s">
        <v>231</v>
      </c>
      <c r="E69" s="78"/>
      <c r="F69" s="85"/>
      <c r="G69" s="78"/>
      <c r="H69" s="78"/>
      <c r="I69" s="78"/>
      <c r="J69" s="78">
        <f>K69</f>
        <v>180000</v>
      </c>
      <c r="K69" s="78">
        <v>180000</v>
      </c>
      <c r="L69" s="81">
        <v>180000</v>
      </c>
      <c r="M69" s="78"/>
      <c r="N69" s="78"/>
      <c r="O69" s="78"/>
      <c r="P69" s="78">
        <v>180000</v>
      </c>
      <c r="Q69" s="78">
        <f>E69+J69</f>
        <v>180000</v>
      </c>
      <c r="R69" s="41"/>
      <c r="S69" s="41"/>
      <c r="T69" s="41"/>
    </row>
    <row r="70" spans="1:20" s="43" customFormat="1" ht="32.25">
      <c r="A70" s="15" t="s">
        <v>308</v>
      </c>
      <c r="B70" s="15" t="s">
        <v>309</v>
      </c>
      <c r="C70" s="15" t="s">
        <v>28</v>
      </c>
      <c r="D70" s="11" t="s">
        <v>310</v>
      </c>
      <c r="E70" s="58">
        <f>F70+I70</f>
        <v>0</v>
      </c>
      <c r="F70" s="59"/>
      <c r="G70" s="58"/>
      <c r="H70" s="58"/>
      <c r="I70" s="58"/>
      <c r="J70" s="58">
        <f t="shared" si="31"/>
        <v>150000</v>
      </c>
      <c r="K70" s="58">
        <v>150000</v>
      </c>
      <c r="L70" s="65">
        <v>150000</v>
      </c>
      <c r="M70" s="58"/>
      <c r="N70" s="58"/>
      <c r="O70" s="58"/>
      <c r="P70" s="58">
        <v>150000</v>
      </c>
      <c r="Q70" s="58">
        <f t="shared" si="32"/>
        <v>150000</v>
      </c>
      <c r="R70" s="13"/>
      <c r="S70" s="13"/>
      <c r="T70" s="13"/>
    </row>
    <row r="71" spans="1:20" s="43" customFormat="1" ht="19.5" customHeight="1">
      <c r="A71" s="15" t="s">
        <v>161</v>
      </c>
      <c r="B71" s="15" t="s">
        <v>87</v>
      </c>
      <c r="C71" s="15" t="s">
        <v>28</v>
      </c>
      <c r="D71" s="14" t="s">
        <v>107</v>
      </c>
      <c r="E71" s="58">
        <f t="shared" si="30"/>
        <v>2764920</v>
      </c>
      <c r="F71" s="58">
        <f>1543000+91920+55000+52000+330000+200000+401000+42000+50000</f>
        <v>2764920</v>
      </c>
      <c r="G71" s="58"/>
      <c r="H71" s="58"/>
      <c r="I71" s="58"/>
      <c r="J71" s="58">
        <f t="shared" si="31"/>
        <v>9016633.1999999993</v>
      </c>
      <c r="K71" s="58">
        <f>8866633.2+150000</f>
        <v>9016633.1999999993</v>
      </c>
      <c r="L71" s="65">
        <f>5540468+150000</f>
        <v>5690468</v>
      </c>
      <c r="M71" s="58"/>
      <c r="N71" s="58"/>
      <c r="O71" s="58"/>
      <c r="P71" s="58">
        <f>8866633.2+150000</f>
        <v>9016633.1999999993</v>
      </c>
      <c r="Q71" s="58">
        <f t="shared" si="32"/>
        <v>11781553.199999999</v>
      </c>
      <c r="R71" s="13"/>
      <c r="S71" s="13"/>
      <c r="T71" s="13"/>
    </row>
    <row r="72" spans="1:20" s="43" customFormat="1" ht="18.75">
      <c r="A72" s="15" t="s">
        <v>321</v>
      </c>
      <c r="B72" s="15" t="s">
        <v>186</v>
      </c>
      <c r="C72" s="15" t="s">
        <v>101</v>
      </c>
      <c r="D72" s="14" t="s">
        <v>188</v>
      </c>
      <c r="E72" s="58">
        <f t="shared" si="30"/>
        <v>80000</v>
      </c>
      <c r="F72" s="58"/>
      <c r="G72" s="58"/>
      <c r="H72" s="58"/>
      <c r="I72" s="58">
        <v>80000</v>
      </c>
      <c r="J72" s="58">
        <f t="shared" si="31"/>
        <v>100140</v>
      </c>
      <c r="K72" s="58">
        <v>100140</v>
      </c>
      <c r="L72" s="65">
        <v>100140</v>
      </c>
      <c r="M72" s="58"/>
      <c r="N72" s="58"/>
      <c r="O72" s="58"/>
      <c r="P72" s="58">
        <v>100140</v>
      </c>
      <c r="Q72" s="58">
        <f t="shared" si="32"/>
        <v>180140</v>
      </c>
      <c r="R72" s="13"/>
      <c r="S72" s="13"/>
      <c r="T72" s="13"/>
    </row>
    <row r="73" spans="1:20" s="43" customFormat="1" ht="32.25">
      <c r="A73" s="15" t="s">
        <v>239</v>
      </c>
      <c r="B73" s="15" t="s">
        <v>238</v>
      </c>
      <c r="C73" s="15" t="s">
        <v>240</v>
      </c>
      <c r="D73" s="11" t="s">
        <v>241</v>
      </c>
      <c r="E73" s="58">
        <f t="shared" si="30"/>
        <v>90000</v>
      </c>
      <c r="F73" s="58">
        <v>90000</v>
      </c>
      <c r="G73" s="58"/>
      <c r="H73" s="58"/>
      <c r="I73" s="58"/>
      <c r="J73" s="58">
        <f t="shared" si="31"/>
        <v>0</v>
      </c>
      <c r="K73" s="58"/>
      <c r="L73" s="65"/>
      <c r="M73" s="58"/>
      <c r="N73" s="58"/>
      <c r="O73" s="58"/>
      <c r="P73" s="58"/>
      <c r="Q73" s="58">
        <f t="shared" si="32"/>
        <v>90000</v>
      </c>
      <c r="R73" s="13"/>
      <c r="S73" s="13"/>
      <c r="T73" s="13"/>
    </row>
    <row r="74" spans="1:20" s="43" customFormat="1" ht="32.25">
      <c r="A74" s="15" t="s">
        <v>267</v>
      </c>
      <c r="B74" s="15" t="s">
        <v>266</v>
      </c>
      <c r="C74" s="15" t="s">
        <v>46</v>
      </c>
      <c r="D74" s="14" t="s">
        <v>233</v>
      </c>
      <c r="E74" s="58">
        <f>F74+I74</f>
        <v>0</v>
      </c>
      <c r="F74" s="58"/>
      <c r="G74" s="58"/>
      <c r="H74" s="58"/>
      <c r="I74" s="58"/>
      <c r="J74" s="58">
        <f t="shared" si="31"/>
        <v>1009056.6</v>
      </c>
      <c r="K74" s="58">
        <f>190000+785000+25220+8836.6</f>
        <v>1009056.6</v>
      </c>
      <c r="L74" s="65">
        <f>190000+785000+25220+8836.6</f>
        <v>1009056.6</v>
      </c>
      <c r="M74" s="58"/>
      <c r="N74" s="58"/>
      <c r="O74" s="58"/>
      <c r="P74" s="58">
        <f>190000+785000+25220+8836.6</f>
        <v>1009056.6</v>
      </c>
      <c r="Q74" s="58">
        <f t="shared" si="32"/>
        <v>1009056.6</v>
      </c>
      <c r="R74" s="13"/>
      <c r="S74" s="13"/>
      <c r="T74" s="13"/>
    </row>
    <row r="75" spans="1:20" s="43" customFormat="1" ht="48">
      <c r="A75" s="15" t="s">
        <v>232</v>
      </c>
      <c r="B75" s="15" t="s">
        <v>173</v>
      </c>
      <c r="C75" s="15" t="s">
        <v>88</v>
      </c>
      <c r="D75" s="11" t="s">
        <v>174</v>
      </c>
      <c r="E75" s="58">
        <f t="shared" si="30"/>
        <v>0</v>
      </c>
      <c r="F75" s="58"/>
      <c r="G75" s="58"/>
      <c r="H75" s="58"/>
      <c r="I75" s="58"/>
      <c r="J75" s="58">
        <f>M75+P75</f>
        <v>1090000</v>
      </c>
      <c r="K75" s="58">
        <f>316000-68604.71+700000</f>
        <v>947395.29</v>
      </c>
      <c r="L75" s="65">
        <f>316000-68604.71+700000</f>
        <v>947395.29</v>
      </c>
      <c r="M75" s="58">
        <v>44000</v>
      </c>
      <c r="N75" s="58"/>
      <c r="O75" s="58"/>
      <c r="P75" s="58">
        <f>316000+30000+700000</f>
        <v>1046000</v>
      </c>
      <c r="Q75" s="58">
        <f>E75+J75</f>
        <v>1090000</v>
      </c>
      <c r="R75" s="13"/>
      <c r="S75" s="13"/>
      <c r="T75" s="13"/>
    </row>
    <row r="76" spans="1:20" s="43" customFormat="1" ht="48">
      <c r="A76" s="15" t="s">
        <v>342</v>
      </c>
      <c r="B76" s="15" t="s">
        <v>343</v>
      </c>
      <c r="C76" s="15" t="s">
        <v>88</v>
      </c>
      <c r="D76" s="11" t="s">
        <v>344</v>
      </c>
      <c r="E76" s="58">
        <f t="shared" si="30"/>
        <v>0</v>
      </c>
      <c r="F76" s="58"/>
      <c r="G76" s="58"/>
      <c r="H76" s="58"/>
      <c r="I76" s="58"/>
      <c r="J76" s="58">
        <f>M76+P76</f>
        <v>1000000</v>
      </c>
      <c r="K76" s="58">
        <v>1000000</v>
      </c>
      <c r="L76" s="65">
        <v>1000000</v>
      </c>
      <c r="M76" s="58"/>
      <c r="N76" s="58"/>
      <c r="O76" s="58"/>
      <c r="P76" s="58">
        <v>1000000</v>
      </c>
      <c r="Q76" s="58">
        <f>E76+J76</f>
        <v>1000000</v>
      </c>
      <c r="R76" s="13"/>
      <c r="S76" s="13"/>
      <c r="T76" s="13"/>
    </row>
    <row r="77" spans="1:20" s="43" customFormat="1" ht="18.75">
      <c r="A77" s="15" t="s">
        <v>234</v>
      </c>
      <c r="B77" s="15" t="s">
        <v>171</v>
      </c>
      <c r="C77" s="15" t="s">
        <v>26</v>
      </c>
      <c r="D77" s="11" t="s">
        <v>27</v>
      </c>
      <c r="E77" s="58">
        <f>F77+I77</f>
        <v>0</v>
      </c>
      <c r="F77" s="58"/>
      <c r="G77" s="58"/>
      <c r="H77" s="58"/>
      <c r="I77" s="58"/>
      <c r="J77" s="58">
        <f t="shared" si="31"/>
        <v>4933624</v>
      </c>
      <c r="K77" s="58">
        <f>4903624+30000</f>
        <v>4933624</v>
      </c>
      <c r="L77" s="65">
        <f>3067340+30000</f>
        <v>3097340</v>
      </c>
      <c r="M77" s="58"/>
      <c r="N77" s="58"/>
      <c r="O77" s="58"/>
      <c r="P77" s="58">
        <f>4903624+30000</f>
        <v>4933624</v>
      </c>
      <c r="Q77" s="58">
        <f t="shared" si="32"/>
        <v>4933624</v>
      </c>
      <c r="R77" s="13"/>
      <c r="S77" s="13"/>
      <c r="T77" s="13"/>
    </row>
    <row r="78" spans="1:20" s="43" customFormat="1" ht="32.25">
      <c r="A78" s="15" t="s">
        <v>258</v>
      </c>
      <c r="B78" s="15" t="s">
        <v>249</v>
      </c>
      <c r="C78" s="15" t="s">
        <v>89</v>
      </c>
      <c r="D78" s="14" t="s">
        <v>270</v>
      </c>
      <c r="E78" s="58">
        <f t="shared" si="30"/>
        <v>0</v>
      </c>
      <c r="F78" s="58"/>
      <c r="G78" s="58"/>
      <c r="H78" s="58"/>
      <c r="I78" s="58"/>
      <c r="J78" s="58">
        <f t="shared" si="31"/>
        <v>1281000</v>
      </c>
      <c r="K78" s="58"/>
      <c r="L78" s="65"/>
      <c r="M78" s="58">
        <v>102000</v>
      </c>
      <c r="N78" s="58"/>
      <c r="O78" s="58"/>
      <c r="P78" s="58">
        <f>300000+400000+200000+279000</f>
        <v>1179000</v>
      </c>
      <c r="Q78" s="58">
        <f t="shared" si="32"/>
        <v>1281000</v>
      </c>
      <c r="R78" s="13"/>
      <c r="S78" s="13"/>
      <c r="T78" s="13"/>
    </row>
    <row r="79" spans="1:20" s="42" customFormat="1" ht="34.5" customHeight="1">
      <c r="A79" s="17" t="s">
        <v>54</v>
      </c>
      <c r="B79" s="17"/>
      <c r="C79" s="17"/>
      <c r="D79" s="18" t="s">
        <v>20</v>
      </c>
      <c r="E79" s="63">
        <f>E80</f>
        <v>188974</v>
      </c>
      <c r="F79" s="63">
        <f>F80</f>
        <v>20000</v>
      </c>
      <c r="G79" s="63">
        <f t="shared" ref="G79:Q79" si="33">G80</f>
        <v>0</v>
      </c>
      <c r="H79" s="63">
        <f t="shared" si="33"/>
        <v>0</v>
      </c>
      <c r="I79" s="63">
        <f t="shared" si="33"/>
        <v>168974</v>
      </c>
      <c r="J79" s="63">
        <f t="shared" si="33"/>
        <v>18280066.350000001</v>
      </c>
      <c r="K79" s="63">
        <f t="shared" si="33"/>
        <v>12200000</v>
      </c>
      <c r="L79" s="64">
        <f t="shared" si="33"/>
        <v>10200000</v>
      </c>
      <c r="M79" s="63">
        <f t="shared" si="33"/>
        <v>0</v>
      </c>
      <c r="N79" s="63">
        <f t="shared" si="33"/>
        <v>0</v>
      </c>
      <c r="O79" s="63">
        <f t="shared" si="33"/>
        <v>0</v>
      </c>
      <c r="P79" s="63">
        <f t="shared" si="33"/>
        <v>18280066.350000001</v>
      </c>
      <c r="Q79" s="63">
        <f t="shared" si="33"/>
        <v>18469040.350000001</v>
      </c>
      <c r="R79" s="38"/>
      <c r="S79" s="38"/>
      <c r="T79" s="38"/>
    </row>
    <row r="80" spans="1:20" s="43" customFormat="1" ht="31.5" customHeight="1">
      <c r="A80" s="17" t="s">
        <v>55</v>
      </c>
      <c r="B80" s="15"/>
      <c r="C80" s="15"/>
      <c r="D80" s="18" t="s">
        <v>20</v>
      </c>
      <c r="E80" s="63">
        <f>E81+E82+E83+E84</f>
        <v>188974</v>
      </c>
      <c r="F80" s="63">
        <f t="shared" ref="F80:I80" si="34">F81+F82+F83+F84</f>
        <v>20000</v>
      </c>
      <c r="G80" s="63">
        <f t="shared" si="34"/>
        <v>0</v>
      </c>
      <c r="H80" s="63">
        <f t="shared" si="34"/>
        <v>0</v>
      </c>
      <c r="I80" s="63">
        <f t="shared" si="34"/>
        <v>168974</v>
      </c>
      <c r="J80" s="63">
        <f>J81+J82+J83+J84+J85</f>
        <v>18280066.350000001</v>
      </c>
      <c r="K80" s="63">
        <f t="shared" ref="K80:P80" si="35">K81+K82+K83+K84+K85</f>
        <v>12200000</v>
      </c>
      <c r="L80" s="63">
        <f t="shared" si="35"/>
        <v>10200000</v>
      </c>
      <c r="M80" s="63">
        <f t="shared" si="35"/>
        <v>0</v>
      </c>
      <c r="N80" s="63">
        <f t="shared" si="35"/>
        <v>0</v>
      </c>
      <c r="O80" s="63">
        <f t="shared" si="35"/>
        <v>0</v>
      </c>
      <c r="P80" s="63">
        <f t="shared" si="35"/>
        <v>18280066.350000001</v>
      </c>
      <c r="Q80" s="63">
        <f t="shared" ref="Q80:Q95" si="36">E80+J80</f>
        <v>18469040.350000001</v>
      </c>
      <c r="R80" s="13"/>
      <c r="S80" s="13"/>
      <c r="T80" s="13"/>
    </row>
    <row r="81" spans="1:20" s="43" customFormat="1" ht="50.25" customHeight="1">
      <c r="A81" s="15" t="s">
        <v>162</v>
      </c>
      <c r="B81" s="15" t="s">
        <v>110</v>
      </c>
      <c r="C81" s="15" t="s">
        <v>21</v>
      </c>
      <c r="D81" s="14" t="s">
        <v>112</v>
      </c>
      <c r="E81" s="58">
        <f t="shared" ref="E81:E83" si="37">F81+I81</f>
        <v>20000</v>
      </c>
      <c r="F81" s="58">
        <f>20000</f>
        <v>20000</v>
      </c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58">
        <f t="shared" si="36"/>
        <v>20000</v>
      </c>
      <c r="R81" s="13"/>
      <c r="S81" s="13"/>
      <c r="T81" s="13"/>
    </row>
    <row r="82" spans="1:20" s="43" customFormat="1" ht="50.25" customHeight="1">
      <c r="A82" s="15" t="s">
        <v>413</v>
      </c>
      <c r="B82" s="15" t="s">
        <v>238</v>
      </c>
      <c r="C82" s="15" t="s">
        <v>240</v>
      </c>
      <c r="D82" s="11" t="s">
        <v>241</v>
      </c>
      <c r="E82" s="58">
        <f t="shared" si="37"/>
        <v>168974</v>
      </c>
      <c r="F82" s="58"/>
      <c r="G82" s="58"/>
      <c r="H82" s="58"/>
      <c r="I82" s="58">
        <v>168974</v>
      </c>
      <c r="J82" s="58">
        <f t="shared" ref="J82" si="38">M82+P82</f>
        <v>0</v>
      </c>
      <c r="K82" s="58"/>
      <c r="L82" s="65"/>
      <c r="M82" s="58"/>
      <c r="N82" s="58"/>
      <c r="O82" s="58"/>
      <c r="P82" s="58"/>
      <c r="Q82" s="58">
        <f t="shared" si="36"/>
        <v>168974</v>
      </c>
      <c r="R82" s="13"/>
      <c r="S82" s="13"/>
      <c r="T82" s="13"/>
    </row>
    <row r="83" spans="1:20" s="43" customFormat="1" ht="36" customHeight="1">
      <c r="A83" s="15" t="s">
        <v>268</v>
      </c>
      <c r="B83" s="15" t="s">
        <v>266</v>
      </c>
      <c r="C83" s="15" t="s">
        <v>46</v>
      </c>
      <c r="D83" s="14" t="s">
        <v>233</v>
      </c>
      <c r="E83" s="58">
        <f t="shared" si="37"/>
        <v>0</v>
      </c>
      <c r="F83" s="58"/>
      <c r="G83" s="58"/>
      <c r="H83" s="58"/>
      <c r="I83" s="58"/>
      <c r="J83" s="58">
        <f t="shared" ref="J83:J85" si="39">M83+P83</f>
        <v>7200000</v>
      </c>
      <c r="K83" s="58">
        <f>5200000+2000000</f>
        <v>7200000</v>
      </c>
      <c r="L83" s="65">
        <f>5200000</f>
        <v>5200000</v>
      </c>
      <c r="M83" s="58"/>
      <c r="N83" s="58"/>
      <c r="O83" s="58"/>
      <c r="P83" s="58">
        <f>5200000+2000000</f>
        <v>7200000</v>
      </c>
      <c r="Q83" s="58">
        <f t="shared" si="36"/>
        <v>7200000</v>
      </c>
      <c r="R83" s="13"/>
      <c r="S83" s="13"/>
      <c r="T83" s="13"/>
    </row>
    <row r="84" spans="1:20" s="43" customFormat="1" ht="126.75">
      <c r="A84" s="15" t="s">
        <v>316</v>
      </c>
      <c r="B84" s="15" t="s">
        <v>317</v>
      </c>
      <c r="C84" s="15" t="s">
        <v>46</v>
      </c>
      <c r="D84" s="14" t="s">
        <v>318</v>
      </c>
      <c r="E84" s="58"/>
      <c r="F84" s="58"/>
      <c r="G84" s="58"/>
      <c r="H84" s="58"/>
      <c r="I84" s="58"/>
      <c r="J84" s="58">
        <f t="shared" si="39"/>
        <v>6080066.3499999996</v>
      </c>
      <c r="K84" s="58"/>
      <c r="L84" s="65"/>
      <c r="M84" s="58"/>
      <c r="N84" s="58"/>
      <c r="O84" s="58"/>
      <c r="P84" s="58">
        <f>5999387.5+80678.85</f>
        <v>6080066.3499999996</v>
      </c>
      <c r="Q84" s="58">
        <f t="shared" si="36"/>
        <v>6080066.3499999996</v>
      </c>
      <c r="R84" s="13"/>
      <c r="S84" s="13"/>
      <c r="T84" s="13"/>
    </row>
    <row r="85" spans="1:20" s="43" customFormat="1" ht="36.75" customHeight="1">
      <c r="A85" s="15" t="s">
        <v>246</v>
      </c>
      <c r="B85" s="15" t="s">
        <v>245</v>
      </c>
      <c r="C85" s="15" t="s">
        <v>248</v>
      </c>
      <c r="D85" s="14" t="s">
        <v>247</v>
      </c>
      <c r="E85" s="76">
        <f t="shared" ref="E85" si="40">F85+I85</f>
        <v>0</v>
      </c>
      <c r="F85" s="76"/>
      <c r="G85" s="76"/>
      <c r="H85" s="76"/>
      <c r="I85" s="76"/>
      <c r="J85" s="76">
        <f t="shared" si="39"/>
        <v>5000000</v>
      </c>
      <c r="K85" s="76">
        <v>5000000</v>
      </c>
      <c r="L85" s="80">
        <v>5000000</v>
      </c>
      <c r="M85" s="76"/>
      <c r="N85" s="76"/>
      <c r="O85" s="76"/>
      <c r="P85" s="76">
        <v>5000000</v>
      </c>
      <c r="Q85" s="76">
        <f t="shared" si="36"/>
        <v>5000000</v>
      </c>
      <c r="R85" s="13"/>
      <c r="S85" s="13"/>
      <c r="T85" s="13"/>
    </row>
    <row r="86" spans="1:20" s="43" customFormat="1" ht="48">
      <c r="A86" s="17" t="s">
        <v>163</v>
      </c>
      <c r="B86" s="17"/>
      <c r="C86" s="17"/>
      <c r="D86" s="18" t="s">
        <v>17</v>
      </c>
      <c r="E86" s="63">
        <f>E87</f>
        <v>250000</v>
      </c>
      <c r="F86" s="63">
        <f t="shared" ref="F86:Q86" si="41">F87</f>
        <v>250000</v>
      </c>
      <c r="G86" s="63">
        <f t="shared" si="41"/>
        <v>0</v>
      </c>
      <c r="H86" s="63">
        <f t="shared" si="41"/>
        <v>0</v>
      </c>
      <c r="I86" s="63">
        <f t="shared" si="41"/>
        <v>0</v>
      </c>
      <c r="J86" s="63">
        <f t="shared" si="41"/>
        <v>0</v>
      </c>
      <c r="K86" s="63">
        <f t="shared" si="41"/>
        <v>0</v>
      </c>
      <c r="L86" s="63">
        <f t="shared" si="41"/>
        <v>0</v>
      </c>
      <c r="M86" s="63">
        <f t="shared" si="41"/>
        <v>0</v>
      </c>
      <c r="N86" s="63">
        <f t="shared" si="41"/>
        <v>0</v>
      </c>
      <c r="O86" s="63">
        <f t="shared" si="41"/>
        <v>0</v>
      </c>
      <c r="P86" s="63">
        <f t="shared" si="41"/>
        <v>0</v>
      </c>
      <c r="Q86" s="63">
        <f t="shared" si="41"/>
        <v>250000</v>
      </c>
      <c r="R86" s="13"/>
      <c r="S86" s="13"/>
      <c r="T86" s="13"/>
    </row>
    <row r="87" spans="1:20" s="43" customFormat="1" ht="48">
      <c r="A87" s="17" t="s">
        <v>164</v>
      </c>
      <c r="B87" s="15"/>
      <c r="C87" s="15"/>
      <c r="D87" s="18" t="s">
        <v>17</v>
      </c>
      <c r="E87" s="63">
        <f>E88+E89</f>
        <v>250000</v>
      </c>
      <c r="F87" s="63">
        <f>F88+F89</f>
        <v>250000</v>
      </c>
      <c r="G87" s="63">
        <f t="shared" ref="G87:P87" si="42">G88</f>
        <v>0</v>
      </c>
      <c r="H87" s="63">
        <f t="shared" si="42"/>
        <v>0</v>
      </c>
      <c r="I87" s="63">
        <f t="shared" si="42"/>
        <v>0</v>
      </c>
      <c r="J87" s="63">
        <f t="shared" si="42"/>
        <v>0</v>
      </c>
      <c r="K87" s="63">
        <f t="shared" si="42"/>
        <v>0</v>
      </c>
      <c r="L87" s="63">
        <f t="shared" si="42"/>
        <v>0</v>
      </c>
      <c r="M87" s="63">
        <f t="shared" si="42"/>
        <v>0</v>
      </c>
      <c r="N87" s="63">
        <f t="shared" si="42"/>
        <v>0</v>
      </c>
      <c r="O87" s="63">
        <f t="shared" si="42"/>
        <v>0</v>
      </c>
      <c r="P87" s="63">
        <f t="shared" si="42"/>
        <v>0</v>
      </c>
      <c r="Q87" s="63">
        <f>Q88+Q89</f>
        <v>250000</v>
      </c>
      <c r="R87" s="13"/>
      <c r="S87" s="13"/>
      <c r="T87" s="13"/>
    </row>
    <row r="88" spans="1:20" s="43" customFormat="1" ht="48">
      <c r="A88" s="15" t="s">
        <v>165</v>
      </c>
      <c r="B88" s="15" t="s">
        <v>110</v>
      </c>
      <c r="C88" s="15" t="s">
        <v>21</v>
      </c>
      <c r="D88" s="14" t="s">
        <v>112</v>
      </c>
      <c r="E88" s="58">
        <f>F88+I88</f>
        <v>150000</v>
      </c>
      <c r="F88" s="58">
        <f>50000+100000</f>
        <v>150000</v>
      </c>
      <c r="G88" s="58"/>
      <c r="H88" s="58"/>
      <c r="I88" s="58"/>
      <c r="J88" s="58"/>
      <c r="K88" s="58"/>
      <c r="L88" s="65"/>
      <c r="M88" s="58"/>
      <c r="N88" s="58"/>
      <c r="O88" s="58"/>
      <c r="P88" s="58"/>
      <c r="Q88" s="58">
        <f>E88+J88</f>
        <v>150000</v>
      </c>
      <c r="R88" s="13"/>
      <c r="S88" s="13"/>
      <c r="T88" s="13"/>
    </row>
    <row r="89" spans="1:20" s="43" customFormat="1" ht="32.25">
      <c r="A89" s="15" t="s">
        <v>398</v>
      </c>
      <c r="B89" s="15" t="s">
        <v>309</v>
      </c>
      <c r="C89" s="15" t="s">
        <v>28</v>
      </c>
      <c r="D89" s="11" t="s">
        <v>310</v>
      </c>
      <c r="E89" s="58">
        <f>F89</f>
        <v>100000</v>
      </c>
      <c r="F89" s="58">
        <v>100000</v>
      </c>
      <c r="G89" s="58"/>
      <c r="H89" s="58"/>
      <c r="I89" s="58"/>
      <c r="J89" s="58"/>
      <c r="K89" s="58"/>
      <c r="L89" s="65"/>
      <c r="M89" s="58"/>
      <c r="N89" s="58"/>
      <c r="O89" s="58"/>
      <c r="P89" s="58"/>
      <c r="Q89" s="58">
        <f>E89+J89</f>
        <v>100000</v>
      </c>
      <c r="R89" s="13"/>
      <c r="S89" s="13"/>
      <c r="T89" s="13"/>
    </row>
    <row r="90" spans="1:20" s="42" customFormat="1" ht="32.25">
      <c r="A90" s="17" t="s">
        <v>166</v>
      </c>
      <c r="B90" s="17"/>
      <c r="C90" s="17"/>
      <c r="D90" s="18" t="s">
        <v>11</v>
      </c>
      <c r="E90" s="63">
        <f>E91</f>
        <v>-606525</v>
      </c>
      <c r="F90" s="63">
        <f>F91</f>
        <v>-606525</v>
      </c>
      <c r="G90" s="63">
        <f t="shared" ref="G90:Q90" si="43">G91</f>
        <v>0</v>
      </c>
      <c r="H90" s="63">
        <f t="shared" si="43"/>
        <v>0</v>
      </c>
      <c r="I90" s="63">
        <f t="shared" si="43"/>
        <v>0</v>
      </c>
      <c r="J90" s="63">
        <f t="shared" si="43"/>
        <v>-5503348</v>
      </c>
      <c r="K90" s="63">
        <f t="shared" si="43"/>
        <v>-5503348</v>
      </c>
      <c r="L90" s="64">
        <f t="shared" si="43"/>
        <v>2213300</v>
      </c>
      <c r="M90" s="63">
        <f t="shared" si="43"/>
        <v>0</v>
      </c>
      <c r="N90" s="63">
        <f t="shared" si="43"/>
        <v>0</v>
      </c>
      <c r="O90" s="63">
        <f t="shared" si="43"/>
        <v>0</v>
      </c>
      <c r="P90" s="63">
        <f t="shared" si="43"/>
        <v>-5503348</v>
      </c>
      <c r="Q90" s="63">
        <f t="shared" si="43"/>
        <v>-6109873</v>
      </c>
      <c r="R90" s="38"/>
      <c r="S90" s="38"/>
      <c r="T90" s="38"/>
    </row>
    <row r="91" spans="1:20" s="43" customFormat="1" ht="32.25">
      <c r="A91" s="17" t="s">
        <v>167</v>
      </c>
      <c r="B91" s="15"/>
      <c r="C91" s="15"/>
      <c r="D91" s="18" t="s">
        <v>11</v>
      </c>
      <c r="E91" s="63">
        <f>E92+E93+E95</f>
        <v>-606525</v>
      </c>
      <c r="F91" s="63">
        <f>F92+F93+F94+F95</f>
        <v>-606525</v>
      </c>
      <c r="G91" s="63">
        <f t="shared" ref="G91:P91" si="44">G92+G93+G94+G95</f>
        <v>0</v>
      </c>
      <c r="H91" s="63">
        <f t="shared" si="44"/>
        <v>0</v>
      </c>
      <c r="I91" s="63">
        <f t="shared" si="44"/>
        <v>0</v>
      </c>
      <c r="J91" s="63">
        <f t="shared" si="44"/>
        <v>-5503348</v>
      </c>
      <c r="K91" s="63">
        <f t="shared" si="44"/>
        <v>-5503348</v>
      </c>
      <c r="L91" s="63">
        <f t="shared" si="44"/>
        <v>2213300</v>
      </c>
      <c r="M91" s="63">
        <f t="shared" si="44"/>
        <v>0</v>
      </c>
      <c r="N91" s="63">
        <f t="shared" si="44"/>
        <v>0</v>
      </c>
      <c r="O91" s="63">
        <f t="shared" si="44"/>
        <v>0</v>
      </c>
      <c r="P91" s="63">
        <f t="shared" si="44"/>
        <v>-5503348</v>
      </c>
      <c r="Q91" s="63">
        <f>E91+J91</f>
        <v>-6109873</v>
      </c>
      <c r="R91" s="13"/>
      <c r="S91" s="13"/>
      <c r="T91" s="13"/>
    </row>
    <row r="92" spans="1:20" s="43" customFormat="1" ht="48">
      <c r="A92" s="15" t="s">
        <v>168</v>
      </c>
      <c r="B92" s="15" t="s">
        <v>110</v>
      </c>
      <c r="C92" s="15" t="s">
        <v>21</v>
      </c>
      <c r="D92" s="14" t="s">
        <v>112</v>
      </c>
      <c r="E92" s="58">
        <f>F92+I92</f>
        <v>100000</v>
      </c>
      <c r="F92" s="58">
        <f>50000+50000</f>
        <v>100000</v>
      </c>
      <c r="G92" s="58"/>
      <c r="H92" s="58"/>
      <c r="I92" s="58"/>
      <c r="J92" s="58"/>
      <c r="K92" s="58"/>
      <c r="L92" s="65"/>
      <c r="M92" s="58"/>
      <c r="N92" s="58"/>
      <c r="O92" s="58"/>
      <c r="P92" s="58"/>
      <c r="Q92" s="58">
        <f>E92+J92</f>
        <v>100000</v>
      </c>
      <c r="R92" s="13"/>
      <c r="S92" s="13"/>
      <c r="T92" s="13"/>
    </row>
    <row r="93" spans="1:20" s="43" customFormat="1" ht="18.75">
      <c r="A93" s="15" t="s">
        <v>189</v>
      </c>
      <c r="B93" s="15" t="s">
        <v>29</v>
      </c>
      <c r="C93" s="15" t="s">
        <v>25</v>
      </c>
      <c r="D93" s="14" t="s">
        <v>182</v>
      </c>
      <c r="E93" s="58">
        <f>F93+I93</f>
        <v>-4100000</v>
      </c>
      <c r="F93" s="58">
        <f>-1800000-2300000</f>
        <v>-4100000</v>
      </c>
      <c r="G93" s="58"/>
      <c r="H93" s="58"/>
      <c r="I93" s="58"/>
      <c r="J93" s="58">
        <f>M93+P93</f>
        <v>-9072398</v>
      </c>
      <c r="K93" s="58">
        <f>-8472398-600000</f>
        <v>-9072398</v>
      </c>
      <c r="L93" s="65"/>
      <c r="M93" s="58"/>
      <c r="N93" s="58"/>
      <c r="O93" s="58"/>
      <c r="P93" s="58">
        <f>-8472398-600000</f>
        <v>-9072398</v>
      </c>
      <c r="Q93" s="58">
        <f>E93+J93</f>
        <v>-13172398</v>
      </c>
      <c r="R93" s="13"/>
      <c r="S93" s="13"/>
      <c r="T93" s="13"/>
    </row>
    <row r="94" spans="1:20" s="43" customFormat="1" ht="18.75">
      <c r="A94" s="15" t="s">
        <v>324</v>
      </c>
      <c r="B94" s="15" t="s">
        <v>322</v>
      </c>
      <c r="C94" s="15" t="s">
        <v>29</v>
      </c>
      <c r="D94" s="37" t="s">
        <v>323</v>
      </c>
      <c r="E94" s="76"/>
      <c r="F94" s="76"/>
      <c r="G94" s="76"/>
      <c r="H94" s="76"/>
      <c r="I94" s="76"/>
      <c r="J94" s="76">
        <f>P94</f>
        <v>-700000</v>
      </c>
      <c r="K94" s="76">
        <v>-700000</v>
      </c>
      <c r="L94" s="80">
        <v>-700000</v>
      </c>
      <c r="M94" s="76"/>
      <c r="N94" s="76"/>
      <c r="O94" s="76"/>
      <c r="P94" s="76">
        <v>-700000</v>
      </c>
      <c r="Q94" s="76">
        <f t="shared" ref="Q94" si="45">E94+J94</f>
        <v>-700000</v>
      </c>
      <c r="R94" s="13"/>
      <c r="S94" s="13"/>
      <c r="T94" s="13"/>
    </row>
    <row r="95" spans="1:20" s="43" customFormat="1" ht="48">
      <c r="A95" s="15" t="s">
        <v>314</v>
      </c>
      <c r="B95" s="15" t="s">
        <v>311</v>
      </c>
      <c r="C95" s="15" t="s">
        <v>29</v>
      </c>
      <c r="D95" s="14" t="s">
        <v>312</v>
      </c>
      <c r="E95" s="58">
        <f>E97+E98+E99+E100+E101+E102+E103+E104+E105</f>
        <v>3393475</v>
      </c>
      <c r="F95" s="58">
        <f>F97+F98+F99+F100+F101+F102+F103+F104+F105</f>
        <v>3393475</v>
      </c>
      <c r="G95" s="58">
        <f t="shared" ref="G95:P95" si="46">G97+G98+G99+G100+G101+G102+G103+G104+G105</f>
        <v>0</v>
      </c>
      <c r="H95" s="58">
        <f t="shared" si="46"/>
        <v>0</v>
      </c>
      <c r="I95" s="58">
        <f t="shared" si="46"/>
        <v>0</v>
      </c>
      <c r="J95" s="58">
        <f t="shared" si="46"/>
        <v>4269050</v>
      </c>
      <c r="K95" s="58">
        <f t="shared" si="46"/>
        <v>4269050</v>
      </c>
      <c r="L95" s="65">
        <f t="shared" si="46"/>
        <v>2913300</v>
      </c>
      <c r="M95" s="58">
        <f t="shared" si="46"/>
        <v>0</v>
      </c>
      <c r="N95" s="58">
        <f t="shared" si="46"/>
        <v>0</v>
      </c>
      <c r="O95" s="58">
        <f t="shared" si="46"/>
        <v>0</v>
      </c>
      <c r="P95" s="58">
        <f t="shared" si="46"/>
        <v>4269050</v>
      </c>
      <c r="Q95" s="58">
        <f t="shared" si="36"/>
        <v>7662525</v>
      </c>
      <c r="R95" s="13"/>
      <c r="S95" s="13"/>
      <c r="T95" s="13"/>
    </row>
    <row r="96" spans="1:20" s="57" customFormat="1" ht="18.75">
      <c r="A96" s="23"/>
      <c r="B96" s="23"/>
      <c r="C96" s="23"/>
      <c r="D96" s="36" t="s">
        <v>319</v>
      </c>
      <c r="E96" s="66"/>
      <c r="F96" s="66"/>
      <c r="G96" s="66"/>
      <c r="H96" s="66"/>
      <c r="I96" s="66"/>
      <c r="J96" s="66"/>
      <c r="K96" s="66"/>
      <c r="L96" s="67"/>
      <c r="M96" s="66"/>
      <c r="N96" s="66"/>
      <c r="O96" s="66"/>
      <c r="P96" s="66"/>
      <c r="Q96" s="66"/>
      <c r="R96" s="41"/>
      <c r="S96" s="41"/>
      <c r="T96" s="41"/>
    </row>
    <row r="97" spans="1:20" s="57" customFormat="1" ht="67.5" customHeight="1">
      <c r="A97" s="23"/>
      <c r="B97" s="23"/>
      <c r="C97" s="23"/>
      <c r="D97" s="36" t="s">
        <v>345</v>
      </c>
      <c r="E97" s="66">
        <f>F97+I97</f>
        <v>1040800</v>
      </c>
      <c r="F97" s="66">
        <v>1040800</v>
      </c>
      <c r="G97" s="66"/>
      <c r="H97" s="66"/>
      <c r="I97" s="66"/>
      <c r="J97" s="66">
        <f>M97+P97</f>
        <v>1959200</v>
      </c>
      <c r="K97" s="66">
        <v>1959200</v>
      </c>
      <c r="L97" s="67">
        <v>1959200</v>
      </c>
      <c r="M97" s="66"/>
      <c r="N97" s="66"/>
      <c r="O97" s="66"/>
      <c r="P97" s="66">
        <v>1959200</v>
      </c>
      <c r="Q97" s="66">
        <f>E97+J97</f>
        <v>3000000</v>
      </c>
      <c r="R97" s="41"/>
      <c r="S97" s="41"/>
      <c r="T97" s="41"/>
    </row>
    <row r="98" spans="1:20" s="57" customFormat="1" ht="71.25" customHeight="1">
      <c r="A98" s="23"/>
      <c r="B98" s="23"/>
      <c r="C98" s="23"/>
      <c r="D98" s="36" t="s">
        <v>346</v>
      </c>
      <c r="E98" s="66">
        <f t="shared" ref="E98:E105" si="47">F98+I98</f>
        <v>182850</v>
      </c>
      <c r="F98" s="66">
        <v>182850</v>
      </c>
      <c r="G98" s="66"/>
      <c r="H98" s="66"/>
      <c r="I98" s="66"/>
      <c r="J98" s="66">
        <f t="shared" ref="J98:J105" si="48">M98+P98</f>
        <v>113750</v>
      </c>
      <c r="K98" s="66">
        <v>113750</v>
      </c>
      <c r="L98" s="67">
        <v>113000</v>
      </c>
      <c r="M98" s="66"/>
      <c r="N98" s="66"/>
      <c r="O98" s="66"/>
      <c r="P98" s="66">
        <v>113750</v>
      </c>
      <c r="Q98" s="66">
        <f t="shared" ref="Q98:Q105" si="49">E98+J98</f>
        <v>296600</v>
      </c>
      <c r="R98" s="41"/>
      <c r="S98" s="41"/>
      <c r="T98" s="41"/>
    </row>
    <row r="99" spans="1:20" s="57" customFormat="1" ht="39" customHeight="1">
      <c r="A99" s="23"/>
      <c r="B99" s="23"/>
      <c r="C99" s="23"/>
      <c r="D99" s="36" t="s">
        <v>347</v>
      </c>
      <c r="E99" s="66">
        <f t="shared" si="47"/>
        <v>1100000</v>
      </c>
      <c r="F99" s="66">
        <v>1100000</v>
      </c>
      <c r="G99" s="66"/>
      <c r="H99" s="66"/>
      <c r="I99" s="66"/>
      <c r="J99" s="66">
        <f t="shared" si="48"/>
        <v>1550000</v>
      </c>
      <c r="K99" s="66">
        <v>1550000</v>
      </c>
      <c r="L99" s="67">
        <f>1550000-1355000</f>
        <v>195000</v>
      </c>
      <c r="M99" s="66"/>
      <c r="N99" s="66"/>
      <c r="O99" s="66"/>
      <c r="P99" s="66">
        <v>1550000</v>
      </c>
      <c r="Q99" s="66">
        <f t="shared" si="49"/>
        <v>2650000</v>
      </c>
      <c r="R99" s="41"/>
      <c r="S99" s="41"/>
      <c r="T99" s="41"/>
    </row>
    <row r="100" spans="1:20" s="57" customFormat="1" ht="138.75" customHeight="1">
      <c r="A100" s="23"/>
      <c r="B100" s="23"/>
      <c r="C100" s="23"/>
      <c r="D100" s="36" t="s">
        <v>348</v>
      </c>
      <c r="E100" s="66">
        <f t="shared" si="47"/>
        <v>15000</v>
      </c>
      <c r="F100" s="66">
        <v>15000</v>
      </c>
      <c r="G100" s="66"/>
      <c r="H100" s="66"/>
      <c r="I100" s="66"/>
      <c r="J100" s="66">
        <f t="shared" si="48"/>
        <v>0</v>
      </c>
      <c r="K100" s="66"/>
      <c r="L100" s="67"/>
      <c r="M100" s="66"/>
      <c r="N100" s="66"/>
      <c r="O100" s="66"/>
      <c r="P100" s="66"/>
      <c r="Q100" s="66">
        <f t="shared" si="49"/>
        <v>15000</v>
      </c>
      <c r="R100" s="41"/>
      <c r="S100" s="41"/>
      <c r="T100" s="41"/>
    </row>
    <row r="101" spans="1:20" s="57" customFormat="1" ht="103.5" customHeight="1">
      <c r="A101" s="23"/>
      <c r="B101" s="23"/>
      <c r="C101" s="23"/>
      <c r="D101" s="36" t="s">
        <v>349</v>
      </c>
      <c r="E101" s="66">
        <f t="shared" si="47"/>
        <v>379480</v>
      </c>
      <c r="F101" s="66">
        <v>379480</v>
      </c>
      <c r="G101" s="66"/>
      <c r="H101" s="66"/>
      <c r="I101" s="66"/>
      <c r="J101" s="66">
        <f t="shared" si="48"/>
        <v>0</v>
      </c>
      <c r="K101" s="66"/>
      <c r="L101" s="67"/>
      <c r="M101" s="66"/>
      <c r="N101" s="66"/>
      <c r="O101" s="66"/>
      <c r="P101" s="66"/>
      <c r="Q101" s="66">
        <f t="shared" si="49"/>
        <v>379480</v>
      </c>
      <c r="R101" s="41"/>
      <c r="S101" s="41"/>
      <c r="T101" s="41"/>
    </row>
    <row r="102" spans="1:20" s="57" customFormat="1" ht="98.25" customHeight="1">
      <c r="A102" s="23"/>
      <c r="B102" s="23"/>
      <c r="C102" s="23"/>
      <c r="D102" s="36" t="s">
        <v>350</v>
      </c>
      <c r="E102" s="66">
        <f t="shared" si="47"/>
        <v>364640</v>
      </c>
      <c r="F102" s="66">
        <v>364640</v>
      </c>
      <c r="G102" s="66"/>
      <c r="H102" s="66"/>
      <c r="I102" s="66"/>
      <c r="J102" s="66">
        <f t="shared" si="48"/>
        <v>624100</v>
      </c>
      <c r="K102" s="66">
        <v>624100</v>
      </c>
      <c r="L102" s="67">
        <v>624100</v>
      </c>
      <c r="M102" s="66"/>
      <c r="N102" s="66"/>
      <c r="O102" s="66"/>
      <c r="P102" s="66">
        <v>624100</v>
      </c>
      <c r="Q102" s="66">
        <f t="shared" si="49"/>
        <v>988740</v>
      </c>
      <c r="R102" s="41"/>
      <c r="S102" s="41"/>
      <c r="T102" s="41"/>
    </row>
    <row r="103" spans="1:20" s="57" customFormat="1" ht="88.5" customHeight="1">
      <c r="A103" s="23"/>
      <c r="B103" s="23"/>
      <c r="C103" s="23"/>
      <c r="D103" s="36" t="s">
        <v>351</v>
      </c>
      <c r="E103" s="66">
        <f t="shared" si="47"/>
        <v>125705</v>
      </c>
      <c r="F103" s="66">
        <v>125705</v>
      </c>
      <c r="G103" s="66"/>
      <c r="H103" s="66"/>
      <c r="I103" s="66"/>
      <c r="J103" s="66">
        <f t="shared" si="48"/>
        <v>7000</v>
      </c>
      <c r="K103" s="66">
        <v>7000</v>
      </c>
      <c r="L103" s="67">
        <v>7000</v>
      </c>
      <c r="M103" s="66"/>
      <c r="N103" s="66"/>
      <c r="O103" s="66"/>
      <c r="P103" s="66">
        <v>7000</v>
      </c>
      <c r="Q103" s="66">
        <f t="shared" si="49"/>
        <v>132705</v>
      </c>
      <c r="R103" s="41"/>
      <c r="S103" s="41"/>
      <c r="T103" s="41"/>
    </row>
    <row r="104" spans="1:20" s="57" customFormat="1" ht="120" customHeight="1">
      <c r="A104" s="23"/>
      <c r="B104" s="23"/>
      <c r="C104" s="23"/>
      <c r="D104" s="36" t="s">
        <v>352</v>
      </c>
      <c r="E104" s="66">
        <f t="shared" si="47"/>
        <v>15000</v>
      </c>
      <c r="F104" s="66">
        <v>15000</v>
      </c>
      <c r="G104" s="66"/>
      <c r="H104" s="66"/>
      <c r="I104" s="66"/>
      <c r="J104" s="66">
        <f t="shared" si="48"/>
        <v>15000</v>
      </c>
      <c r="K104" s="66">
        <v>15000</v>
      </c>
      <c r="L104" s="67">
        <v>15000</v>
      </c>
      <c r="M104" s="66"/>
      <c r="N104" s="66"/>
      <c r="O104" s="66"/>
      <c r="P104" s="66">
        <v>15000</v>
      </c>
      <c r="Q104" s="66">
        <f t="shared" si="49"/>
        <v>30000</v>
      </c>
      <c r="R104" s="41"/>
      <c r="S104" s="41"/>
      <c r="T104" s="41"/>
    </row>
    <row r="105" spans="1:20" s="57" customFormat="1" ht="59.25" customHeight="1">
      <c r="A105" s="23"/>
      <c r="B105" s="23"/>
      <c r="C105" s="23"/>
      <c r="D105" s="36" t="s">
        <v>353</v>
      </c>
      <c r="E105" s="66">
        <f t="shared" si="47"/>
        <v>170000</v>
      </c>
      <c r="F105" s="66">
        <v>170000</v>
      </c>
      <c r="G105" s="66"/>
      <c r="H105" s="66"/>
      <c r="I105" s="66"/>
      <c r="J105" s="66">
        <f t="shared" si="48"/>
        <v>0</v>
      </c>
      <c r="K105" s="66"/>
      <c r="L105" s="67"/>
      <c r="M105" s="66"/>
      <c r="N105" s="66"/>
      <c r="O105" s="66"/>
      <c r="P105" s="66"/>
      <c r="Q105" s="66">
        <f t="shared" si="49"/>
        <v>170000</v>
      </c>
      <c r="R105" s="41"/>
      <c r="S105" s="41"/>
      <c r="T105" s="41"/>
    </row>
    <row r="106" spans="1:20" s="43" customFormat="1" ht="18.75">
      <c r="A106" s="15"/>
      <c r="B106" s="15"/>
      <c r="C106" s="15"/>
      <c r="D106" s="27" t="s">
        <v>6</v>
      </c>
      <c r="E106" s="63">
        <f t="shared" ref="E106:P106" si="50">E13+E28+E41+E51+E59+E63+E79+E86+E90</f>
        <v>6838799.2000000002</v>
      </c>
      <c r="F106" s="63">
        <f t="shared" si="50"/>
        <v>6589825.2000000002</v>
      </c>
      <c r="G106" s="63">
        <f t="shared" si="50"/>
        <v>-300000</v>
      </c>
      <c r="H106" s="63">
        <f t="shared" si="50"/>
        <v>-700000</v>
      </c>
      <c r="I106" s="63">
        <f t="shared" si="50"/>
        <v>248974</v>
      </c>
      <c r="J106" s="63">
        <f t="shared" si="50"/>
        <v>38725502.859999999</v>
      </c>
      <c r="K106" s="63">
        <f t="shared" si="50"/>
        <v>31081831.799999997</v>
      </c>
      <c r="L106" s="63">
        <f t="shared" si="50"/>
        <v>29618022.210000001</v>
      </c>
      <c r="M106" s="63">
        <f t="shared" si="50"/>
        <v>286000</v>
      </c>
      <c r="N106" s="63">
        <f t="shared" si="50"/>
        <v>0</v>
      </c>
      <c r="O106" s="63">
        <f t="shared" si="50"/>
        <v>0</v>
      </c>
      <c r="P106" s="63">
        <f t="shared" si="50"/>
        <v>38439502.859999999</v>
      </c>
      <c r="Q106" s="63">
        <f>E106+J106</f>
        <v>45564302.060000002</v>
      </c>
      <c r="R106" s="106" t="e">
        <f>Q106-#REF!</f>
        <v>#REF!</v>
      </c>
      <c r="S106" s="13"/>
      <c r="T106" s="13"/>
    </row>
    <row r="107" spans="1:20" s="13" customFormat="1" ht="15.75">
      <c r="A107" s="28"/>
      <c r="B107" s="28"/>
      <c r="C107" s="28"/>
      <c r="D107" s="29"/>
      <c r="E107" s="29"/>
      <c r="F107" s="29"/>
      <c r="G107" s="29"/>
      <c r="H107" s="29"/>
      <c r="I107" s="29"/>
      <c r="K107" s="30"/>
      <c r="L107" s="54"/>
      <c r="N107" s="30"/>
      <c r="O107" s="30"/>
      <c r="P107" s="30"/>
      <c r="Q107" s="30"/>
    </row>
    <row r="108" spans="1:20" s="108" customFormat="1" ht="20.25">
      <c r="A108" s="107"/>
      <c r="B108" s="107"/>
      <c r="C108" s="107"/>
      <c r="E108" s="108" t="s">
        <v>416</v>
      </c>
      <c r="J108" s="108" t="s">
        <v>417</v>
      </c>
      <c r="L108" s="109"/>
    </row>
    <row r="111" spans="1:20" ht="15.75">
      <c r="D111" s="20" t="s">
        <v>397</v>
      </c>
      <c r="E111" s="98">
        <f>початковий!E165</f>
        <v>761371853</v>
      </c>
      <c r="F111" s="98">
        <f>початковий!F165</f>
        <v>756371853</v>
      </c>
      <c r="G111" s="98">
        <f>початковий!G165</f>
        <v>289593700</v>
      </c>
      <c r="H111" s="98">
        <f>початковий!H165</f>
        <v>29439200</v>
      </c>
      <c r="I111" s="98">
        <f>початковий!I165</f>
        <v>0</v>
      </c>
      <c r="J111" s="98">
        <f>початковий!J165</f>
        <v>225405601</v>
      </c>
      <c r="K111" s="98">
        <f>початковий!K165</f>
        <v>202860800</v>
      </c>
      <c r="L111" s="99">
        <f>початковий!L165</f>
        <v>154426300</v>
      </c>
      <c r="M111" s="98">
        <f>початковий!M165</f>
        <v>22450801</v>
      </c>
      <c r="N111" s="98">
        <f>початковий!N165</f>
        <v>380500</v>
      </c>
      <c r="O111" s="98">
        <f>початковий!O165</f>
        <v>0</v>
      </c>
      <c r="P111" s="98">
        <f>початковий!P165</f>
        <v>202954800</v>
      </c>
      <c r="Q111" s="98">
        <f>початковий!Q165</f>
        <v>986777454</v>
      </c>
    </row>
    <row r="112" spans="1:20" s="102" customFormat="1" ht="15.75">
      <c r="A112" s="100"/>
      <c r="B112" s="100"/>
      <c r="C112" s="100"/>
      <c r="D112" s="21" t="s">
        <v>396</v>
      </c>
      <c r="E112" s="101">
        <f>E106+E111</f>
        <v>768210652.20000005</v>
      </c>
      <c r="F112" s="101">
        <f t="shared" ref="F112:Q112" si="51">F106+F111</f>
        <v>762961678.20000005</v>
      </c>
      <c r="G112" s="101">
        <f t="shared" si="51"/>
        <v>289293700</v>
      </c>
      <c r="H112" s="101">
        <f t="shared" si="51"/>
        <v>28739200</v>
      </c>
      <c r="I112" s="101">
        <f t="shared" si="51"/>
        <v>248974</v>
      </c>
      <c r="J112" s="101">
        <f t="shared" si="51"/>
        <v>264131103.86000001</v>
      </c>
      <c r="K112" s="101">
        <f t="shared" si="51"/>
        <v>233942631.80000001</v>
      </c>
      <c r="L112" s="101">
        <f t="shared" si="51"/>
        <v>184044322.21000001</v>
      </c>
      <c r="M112" s="101">
        <f t="shared" si="51"/>
        <v>22736801</v>
      </c>
      <c r="N112" s="101">
        <f t="shared" si="51"/>
        <v>380500</v>
      </c>
      <c r="O112" s="101">
        <f t="shared" si="51"/>
        <v>0</v>
      </c>
      <c r="P112" s="101">
        <f t="shared" si="51"/>
        <v>241394302.86000001</v>
      </c>
      <c r="Q112" s="101">
        <f t="shared" si="51"/>
        <v>1032341756.0599999</v>
      </c>
    </row>
  </sheetData>
  <mergeCells count="21">
    <mergeCell ref="I9:I11"/>
    <mergeCell ref="J9:J11"/>
    <mergeCell ref="K9:K11"/>
    <mergeCell ref="M9:M11"/>
    <mergeCell ref="N9:O9"/>
    <mergeCell ref="A6:Q6"/>
    <mergeCell ref="A8:A11"/>
    <mergeCell ref="B8:B11"/>
    <mergeCell ref="C8:C11"/>
    <mergeCell ref="D8:D11"/>
    <mergeCell ref="E8:I8"/>
    <mergeCell ref="J8:P8"/>
    <mergeCell ref="Q8:Q11"/>
    <mergeCell ref="E9:E11"/>
    <mergeCell ref="F9:F11"/>
    <mergeCell ref="P9:P11"/>
    <mergeCell ref="G10:G11"/>
    <mergeCell ref="H10:H11"/>
    <mergeCell ref="N10:N11"/>
    <mergeCell ref="O10:O11"/>
    <mergeCell ref="G9:H9"/>
  </mergeCells>
  <pageMargins left="0.15748031496062992" right="0.15748031496062992" top="0.15748031496062992" bottom="0.11811023622047245" header="0.15748031496062992" footer="0.11811023622047245"/>
  <pageSetup paperSize="9" scale="45" fitToHeight="10" orientation="landscape" r:id="rId1"/>
  <rowBreaks count="1" manualBreakCount="1">
    <brk id="69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5"/>
  <sheetViews>
    <sheetView view="pageBreakPreview" zoomScale="60" zoomScaleNormal="70" workbookViewId="0">
      <pane ySplit="13" topLeftCell="A59" activePane="bottomLeft" state="frozen"/>
      <selection pane="bottomLeft" activeCell="H74" sqref="H74"/>
    </sheetView>
  </sheetViews>
  <sheetFormatPr defaultRowHeight="15"/>
  <cols>
    <col min="1" max="1" width="18" style="6" customWidth="1"/>
    <col min="2" max="2" width="9.140625" style="6"/>
    <col min="3" max="3" width="18.42578125" style="6" customWidth="1"/>
    <col min="4" max="4" width="49.85546875" style="4" customWidth="1"/>
    <col min="5" max="5" width="21.42578125" style="4" customWidth="1"/>
    <col min="6" max="6" width="20.42578125" style="4" customWidth="1"/>
    <col min="7" max="7" width="19" style="4" customWidth="1"/>
    <col min="8" max="8" width="19.140625" style="4" customWidth="1"/>
    <col min="9" max="9" width="14.85546875" style="4" customWidth="1"/>
    <col min="10" max="10" width="19.5703125" style="4" customWidth="1"/>
    <col min="11" max="11" width="21.140625" style="4" customWidth="1"/>
    <col min="12" max="12" width="19.5703125" style="136" hidden="1" customWidth="1"/>
    <col min="13" max="13" width="18.42578125" style="4" customWidth="1"/>
    <col min="14" max="14" width="14" style="4" customWidth="1"/>
    <col min="15" max="15" width="11.140625" style="4" customWidth="1"/>
    <col min="16" max="16" width="21.28515625" style="4" customWidth="1"/>
    <col min="17" max="17" width="22.7109375" style="4" customWidth="1"/>
    <col min="18" max="18" width="11" style="4" bestFit="1" customWidth="1"/>
    <col min="19" max="19" width="12" style="4" bestFit="1" customWidth="1"/>
    <col min="20" max="16384" width="9.140625" style="4"/>
  </cols>
  <sheetData>
    <row r="1" spans="1:17" ht="18.75">
      <c r="A1" s="46"/>
      <c r="B1" s="1"/>
      <c r="C1" s="1"/>
      <c r="D1" s="2"/>
      <c r="E1" s="3"/>
      <c r="F1" s="3"/>
      <c r="G1" s="3"/>
      <c r="H1" s="3"/>
      <c r="I1" s="3"/>
      <c r="J1" s="3"/>
      <c r="K1" s="3"/>
      <c r="L1" s="119"/>
      <c r="M1" s="3"/>
      <c r="N1" s="3"/>
      <c r="O1" s="5" t="s">
        <v>341</v>
      </c>
      <c r="Q1" s="3"/>
    </row>
    <row r="2" spans="1:17" ht="18.75">
      <c r="A2" s="111"/>
      <c r="B2" s="1"/>
      <c r="C2" s="1"/>
      <c r="D2" s="2"/>
      <c r="E2" s="3"/>
      <c r="F2" s="3"/>
      <c r="G2" s="3"/>
      <c r="H2" s="3"/>
      <c r="I2" s="3"/>
      <c r="J2" s="3"/>
      <c r="K2" s="5"/>
      <c r="L2" s="119"/>
      <c r="M2" s="3"/>
      <c r="N2" s="3"/>
      <c r="O2" s="5" t="s">
        <v>326</v>
      </c>
      <c r="Q2" s="3"/>
    </row>
    <row r="3" spans="1:17">
      <c r="A3" s="47"/>
      <c r="B3" s="1"/>
      <c r="C3" s="1"/>
      <c r="D3" s="2"/>
      <c r="E3" s="3"/>
      <c r="F3" s="3"/>
      <c r="G3" s="3"/>
      <c r="H3" s="3"/>
      <c r="I3" s="3"/>
      <c r="J3" s="3"/>
      <c r="K3" s="5"/>
      <c r="L3" s="119"/>
      <c r="M3" s="3"/>
      <c r="N3" s="3"/>
      <c r="O3" s="5" t="s">
        <v>331</v>
      </c>
      <c r="Q3" s="3"/>
    </row>
    <row r="4" spans="1:17">
      <c r="A4" s="47"/>
      <c r="D4" s="2"/>
      <c r="E4" s="117"/>
      <c r="F4" s="3"/>
      <c r="G4" s="3"/>
      <c r="H4" s="3"/>
      <c r="I4" s="3"/>
      <c r="J4" s="3"/>
      <c r="K4" s="5"/>
      <c r="L4" s="119"/>
      <c r="M4" s="3"/>
      <c r="N4" s="3"/>
      <c r="O4" s="22" t="s">
        <v>355</v>
      </c>
      <c r="Q4" s="3"/>
    </row>
    <row r="5" spans="1:17">
      <c r="A5" s="47"/>
      <c r="D5" s="2"/>
      <c r="E5" s="117"/>
      <c r="F5" s="3"/>
      <c r="G5" s="3"/>
      <c r="H5" s="3"/>
      <c r="I5" s="3"/>
      <c r="J5" s="3"/>
      <c r="K5" s="5"/>
      <c r="L5" s="119"/>
      <c r="M5" s="3"/>
      <c r="N5" s="3"/>
      <c r="O5" s="22" t="s">
        <v>428</v>
      </c>
      <c r="Q5" s="3"/>
    </row>
    <row r="6" spans="1:17">
      <c r="A6" s="47"/>
      <c r="D6" s="2"/>
      <c r="E6" s="117"/>
      <c r="F6" s="3"/>
      <c r="G6" s="3"/>
      <c r="H6" s="3"/>
      <c r="I6" s="3"/>
      <c r="J6" s="3"/>
      <c r="K6" s="5"/>
      <c r="L6" s="119"/>
      <c r="M6" s="3"/>
      <c r="N6" s="3"/>
      <c r="O6" s="22" t="s">
        <v>429</v>
      </c>
      <c r="Q6" s="3"/>
    </row>
    <row r="7" spans="1:17">
      <c r="A7" s="47"/>
      <c r="D7" s="2"/>
      <c r="E7" s="3"/>
      <c r="F7" s="3"/>
      <c r="G7" s="3"/>
      <c r="H7" s="3"/>
      <c r="I7" s="3"/>
      <c r="J7" s="3"/>
      <c r="K7" s="5"/>
      <c r="L7" s="119"/>
      <c r="M7" s="3"/>
      <c r="N7" s="3"/>
      <c r="O7" s="22" t="s">
        <v>430</v>
      </c>
      <c r="P7" s="22"/>
      <c r="Q7" s="3"/>
    </row>
    <row r="8" spans="1:17" ht="20.25">
      <c r="A8" s="151" t="s">
        <v>356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</row>
    <row r="9" spans="1:17">
      <c r="D9" s="7"/>
      <c r="E9" s="116"/>
      <c r="F9" s="116"/>
      <c r="G9" s="116"/>
      <c r="H9" s="116"/>
      <c r="I9" s="116"/>
      <c r="J9" s="116"/>
      <c r="K9" s="116"/>
      <c r="L9" s="120"/>
      <c r="M9" s="116"/>
      <c r="N9" s="116"/>
      <c r="O9" s="116"/>
      <c r="P9" s="116"/>
      <c r="Q9" s="8" t="s">
        <v>340</v>
      </c>
    </row>
    <row r="10" spans="1:17" ht="15" customHeight="1">
      <c r="A10" s="152" t="s">
        <v>332</v>
      </c>
      <c r="B10" s="152" t="s">
        <v>333</v>
      </c>
      <c r="C10" s="155" t="s">
        <v>334</v>
      </c>
      <c r="D10" s="156" t="s">
        <v>335</v>
      </c>
      <c r="E10" s="157" t="s">
        <v>0</v>
      </c>
      <c r="F10" s="158"/>
      <c r="G10" s="158"/>
      <c r="H10" s="158"/>
      <c r="I10" s="159"/>
      <c r="J10" s="147" t="s">
        <v>4</v>
      </c>
      <c r="K10" s="147"/>
      <c r="L10" s="147"/>
      <c r="M10" s="147"/>
      <c r="N10" s="147"/>
      <c r="O10" s="147"/>
      <c r="P10" s="147"/>
      <c r="Q10" s="147" t="s">
        <v>6</v>
      </c>
    </row>
    <row r="11" spans="1:17" ht="15" customHeight="1">
      <c r="A11" s="153"/>
      <c r="B11" s="153"/>
      <c r="C11" s="155"/>
      <c r="D11" s="156"/>
      <c r="E11" s="147" t="s">
        <v>336</v>
      </c>
      <c r="F11" s="147" t="s">
        <v>329</v>
      </c>
      <c r="G11" s="147" t="s">
        <v>1</v>
      </c>
      <c r="H11" s="147"/>
      <c r="I11" s="148" t="s">
        <v>330</v>
      </c>
      <c r="J11" s="147" t="s">
        <v>336</v>
      </c>
      <c r="K11" s="147" t="s">
        <v>337</v>
      </c>
      <c r="L11" s="121"/>
      <c r="M11" s="147" t="s">
        <v>329</v>
      </c>
      <c r="N11" s="147" t="s">
        <v>1</v>
      </c>
      <c r="O11" s="147"/>
      <c r="P11" s="147" t="s">
        <v>338</v>
      </c>
      <c r="Q11" s="147"/>
    </row>
    <row r="12" spans="1:17" ht="15" customHeight="1">
      <c r="A12" s="153"/>
      <c r="B12" s="153"/>
      <c r="C12" s="155"/>
      <c r="D12" s="156"/>
      <c r="E12" s="147"/>
      <c r="F12" s="147"/>
      <c r="G12" s="147" t="s">
        <v>2</v>
      </c>
      <c r="H12" s="147" t="s">
        <v>3</v>
      </c>
      <c r="I12" s="149"/>
      <c r="J12" s="147"/>
      <c r="K12" s="147"/>
      <c r="L12" s="122" t="s">
        <v>1</v>
      </c>
      <c r="M12" s="147"/>
      <c r="N12" s="147" t="s">
        <v>2</v>
      </c>
      <c r="O12" s="147" t="s">
        <v>3</v>
      </c>
      <c r="P12" s="147"/>
      <c r="Q12" s="147"/>
    </row>
    <row r="13" spans="1:17" ht="83.25" customHeight="1">
      <c r="A13" s="154"/>
      <c r="B13" s="154"/>
      <c r="C13" s="155"/>
      <c r="D13" s="156"/>
      <c r="E13" s="147"/>
      <c r="F13" s="147"/>
      <c r="G13" s="147"/>
      <c r="H13" s="147"/>
      <c r="I13" s="150"/>
      <c r="J13" s="147"/>
      <c r="K13" s="147"/>
      <c r="L13" s="123" t="s">
        <v>5</v>
      </c>
      <c r="M13" s="147"/>
      <c r="N13" s="147"/>
      <c r="O13" s="147"/>
      <c r="P13" s="147"/>
      <c r="Q13" s="147"/>
    </row>
    <row r="14" spans="1:17">
      <c r="A14" s="9">
        <v>1</v>
      </c>
      <c r="B14" s="9">
        <v>2</v>
      </c>
      <c r="C14" s="9">
        <v>3</v>
      </c>
      <c r="D14" s="110">
        <v>4</v>
      </c>
      <c r="E14" s="110">
        <v>5</v>
      </c>
      <c r="F14" s="110">
        <v>6</v>
      </c>
      <c r="G14" s="110">
        <v>7</v>
      </c>
      <c r="H14" s="110">
        <v>8</v>
      </c>
      <c r="I14" s="110">
        <v>9</v>
      </c>
      <c r="J14" s="110">
        <v>10</v>
      </c>
      <c r="K14" s="110">
        <v>11</v>
      </c>
      <c r="L14" s="124"/>
      <c r="M14" s="110">
        <v>12</v>
      </c>
      <c r="N14" s="110">
        <v>13</v>
      </c>
      <c r="O14" s="110">
        <v>14</v>
      </c>
      <c r="P14" s="110">
        <v>15</v>
      </c>
      <c r="Q14" s="110" t="s">
        <v>339</v>
      </c>
    </row>
    <row r="15" spans="1:17" s="38" customFormat="1" ht="32.25">
      <c r="A15" s="17" t="s">
        <v>123</v>
      </c>
      <c r="B15" s="17"/>
      <c r="C15" s="17"/>
      <c r="D15" s="18" t="s">
        <v>18</v>
      </c>
      <c r="E15" s="61">
        <f>E16</f>
        <v>169610614.19999999</v>
      </c>
      <c r="F15" s="61">
        <f>F16</f>
        <v>169610614.19999999</v>
      </c>
      <c r="G15" s="61">
        <f t="shared" ref="G15:P15" si="0">G16</f>
        <v>30861100</v>
      </c>
      <c r="H15" s="61">
        <f t="shared" si="0"/>
        <v>2460100</v>
      </c>
      <c r="I15" s="61"/>
      <c r="J15" s="61">
        <f t="shared" si="0"/>
        <v>26254700</v>
      </c>
      <c r="K15" s="61">
        <f t="shared" si="0"/>
        <v>16625700</v>
      </c>
      <c r="L15" s="125">
        <f t="shared" si="0"/>
        <v>16625700</v>
      </c>
      <c r="M15" s="61">
        <f t="shared" si="0"/>
        <v>9629000</v>
      </c>
      <c r="N15" s="61"/>
      <c r="O15" s="61"/>
      <c r="P15" s="61">
        <f t="shared" si="0"/>
        <v>16625700</v>
      </c>
      <c r="Q15" s="63">
        <f t="shared" ref="Q15:Q29" si="1">E15+J15</f>
        <v>195865314.19999999</v>
      </c>
    </row>
    <row r="16" spans="1:17" s="13" customFormat="1" ht="32.25">
      <c r="A16" s="17" t="s">
        <v>124</v>
      </c>
      <c r="B16" s="15"/>
      <c r="C16" s="15"/>
      <c r="D16" s="18" t="s">
        <v>18</v>
      </c>
      <c r="E16" s="63">
        <f>E17+E22+E23+E24+E29+E30+E31+E34+E35+E36+E37+E41+E42+E43+E44+E48+E45+E32+E33+E46+E47</f>
        <v>169610614.19999999</v>
      </c>
      <c r="F16" s="63">
        <f t="shared" ref="F16:H16" si="2">F17+F22+F23+F24+F29+F30+F31+F34+F35+F36+F37+F41+F42+F43+F44+F48+F45+F32+F33+F46+F47</f>
        <v>169610614.19999999</v>
      </c>
      <c r="G16" s="63">
        <f t="shared" si="2"/>
        <v>30861100</v>
      </c>
      <c r="H16" s="63">
        <f t="shared" si="2"/>
        <v>2460100</v>
      </c>
      <c r="I16" s="63"/>
      <c r="J16" s="63">
        <f>J17+J22+J23+J24+J29+J30+J31+J34+J35+J36+J37+J41+J42+J43+J44+J48+J45+J32+J33+J46+J47</f>
        <v>26254700</v>
      </c>
      <c r="K16" s="63">
        <f t="shared" ref="K16:P16" si="3">K17+K22+K23+K24+K29+K30+K31+K34+K35+K36+K37+K41+K42+K43+K44+K48+K45+K32+K33+K46+K47</f>
        <v>16625700</v>
      </c>
      <c r="L16" s="126">
        <f t="shared" si="3"/>
        <v>16625700</v>
      </c>
      <c r="M16" s="63">
        <f t="shared" si="3"/>
        <v>9629000</v>
      </c>
      <c r="N16" s="63"/>
      <c r="O16" s="63"/>
      <c r="P16" s="63">
        <f t="shared" si="3"/>
        <v>16625700</v>
      </c>
      <c r="Q16" s="63">
        <f t="shared" si="1"/>
        <v>195865314.19999999</v>
      </c>
    </row>
    <row r="17" spans="1:18" s="13" customFormat="1" ht="79.5">
      <c r="A17" s="15" t="s">
        <v>125</v>
      </c>
      <c r="B17" s="15" t="s">
        <v>103</v>
      </c>
      <c r="C17" s="15" t="s">
        <v>21</v>
      </c>
      <c r="D17" s="14" t="s">
        <v>104</v>
      </c>
      <c r="E17" s="58">
        <f t="shared" ref="E17:E35" si="4">F17+I17</f>
        <v>37701400</v>
      </c>
      <c r="F17" s="58">
        <f>F18+F19+F20+F21</f>
        <v>37701400</v>
      </c>
      <c r="G17" s="58">
        <f>G18+G19+G20+G21</f>
        <v>30861100</v>
      </c>
      <c r="H17" s="58">
        <f>H18+H19+H20+H21</f>
        <v>2460100</v>
      </c>
      <c r="I17" s="58"/>
      <c r="J17" s="58">
        <f>M17+P17</f>
        <v>1728500</v>
      </c>
      <c r="K17" s="58">
        <f>K18+K19+K20+K21</f>
        <v>1565500</v>
      </c>
      <c r="L17" s="127">
        <f>L18+L19+L20+L21</f>
        <v>1565500</v>
      </c>
      <c r="M17" s="58">
        <f>M18+M19+M20+M21</f>
        <v>163000</v>
      </c>
      <c r="N17" s="58"/>
      <c r="O17" s="58"/>
      <c r="P17" s="58">
        <f>P18+P19+P20+P21</f>
        <v>1565500</v>
      </c>
      <c r="Q17" s="58">
        <f t="shared" si="1"/>
        <v>39429900</v>
      </c>
    </row>
    <row r="18" spans="1:18" s="25" customFormat="1" ht="37.5" customHeight="1">
      <c r="A18" s="23"/>
      <c r="B18" s="23"/>
      <c r="C18" s="23"/>
      <c r="D18" s="77" t="s">
        <v>18</v>
      </c>
      <c r="E18" s="66">
        <f t="shared" si="4"/>
        <v>33222100</v>
      </c>
      <c r="F18" s="66">
        <f>31134000+1709000+8100+376000-5000-200000+200000</f>
        <v>33222100</v>
      </c>
      <c r="G18" s="66">
        <f>25024000+1709000+8100+376000</f>
        <v>27117100</v>
      </c>
      <c r="H18" s="66">
        <v>2255400</v>
      </c>
      <c r="I18" s="66"/>
      <c r="J18" s="66">
        <f>M18+P18</f>
        <v>1710500</v>
      </c>
      <c r="K18" s="66">
        <f>1587500-22000</f>
        <v>1565500</v>
      </c>
      <c r="L18" s="128">
        <f>1587500-22000</f>
        <v>1565500</v>
      </c>
      <c r="M18" s="66">
        <f>121000+24000</f>
        <v>145000</v>
      </c>
      <c r="N18" s="66"/>
      <c r="O18" s="66"/>
      <c r="P18" s="66">
        <f>1587500-22000</f>
        <v>1565500</v>
      </c>
      <c r="Q18" s="66">
        <f t="shared" si="1"/>
        <v>34932600</v>
      </c>
      <c r="R18" s="79"/>
    </row>
    <row r="19" spans="1:18" s="25" customFormat="1" ht="39.75" customHeight="1">
      <c r="A19" s="23"/>
      <c r="B19" s="23"/>
      <c r="C19" s="23"/>
      <c r="D19" s="36" t="s">
        <v>226</v>
      </c>
      <c r="E19" s="66">
        <f t="shared" si="4"/>
        <v>1770100</v>
      </c>
      <c r="F19" s="66">
        <f>1662100+88000+20000-80000+80000</f>
        <v>1770100</v>
      </c>
      <c r="G19" s="66">
        <f>1296100+88000+20000</f>
        <v>1404100</v>
      </c>
      <c r="H19" s="66">
        <v>106100</v>
      </c>
      <c r="I19" s="66"/>
      <c r="J19" s="66">
        <f>M19+P19</f>
        <v>18000</v>
      </c>
      <c r="K19" s="66"/>
      <c r="L19" s="128"/>
      <c r="M19" s="66">
        <v>18000</v>
      </c>
      <c r="N19" s="66"/>
      <c r="O19" s="66"/>
      <c r="P19" s="66"/>
      <c r="Q19" s="66">
        <f t="shared" si="1"/>
        <v>1788100</v>
      </c>
      <c r="R19" s="79"/>
    </row>
    <row r="20" spans="1:18" s="25" customFormat="1" ht="35.25" customHeight="1">
      <c r="A20" s="23"/>
      <c r="B20" s="23"/>
      <c r="C20" s="23"/>
      <c r="D20" s="56" t="s">
        <v>12</v>
      </c>
      <c r="E20" s="66">
        <f t="shared" si="4"/>
        <v>1222600</v>
      </c>
      <c r="F20" s="66">
        <f>1139600+68000+15000-20000+20000</f>
        <v>1222600</v>
      </c>
      <c r="G20" s="66">
        <f>997500+68000+15000</f>
        <v>1080500</v>
      </c>
      <c r="H20" s="66">
        <v>34800</v>
      </c>
      <c r="I20" s="66"/>
      <c r="J20" s="66"/>
      <c r="K20" s="66"/>
      <c r="L20" s="128"/>
      <c r="M20" s="66"/>
      <c r="N20" s="66"/>
      <c r="O20" s="66"/>
      <c r="P20" s="66"/>
      <c r="Q20" s="66">
        <f t="shared" si="1"/>
        <v>1222600</v>
      </c>
      <c r="R20" s="79"/>
    </row>
    <row r="21" spans="1:18" s="25" customFormat="1" ht="42" customHeight="1">
      <c r="A21" s="23"/>
      <c r="B21" s="23"/>
      <c r="C21" s="23"/>
      <c r="D21" s="56" t="s">
        <v>14</v>
      </c>
      <c r="E21" s="66">
        <f t="shared" si="4"/>
        <v>1486600</v>
      </c>
      <c r="F21" s="66">
        <f>1389700+78700+18200-50000+50000</f>
        <v>1486600</v>
      </c>
      <c r="G21" s="66">
        <f>1162500+78700+18200</f>
        <v>1259400</v>
      </c>
      <c r="H21" s="66">
        <v>63800</v>
      </c>
      <c r="I21" s="66"/>
      <c r="J21" s="66"/>
      <c r="K21" s="66"/>
      <c r="L21" s="128"/>
      <c r="M21" s="66"/>
      <c r="N21" s="66"/>
      <c r="O21" s="66"/>
      <c r="P21" s="66"/>
      <c r="Q21" s="66">
        <f t="shared" si="1"/>
        <v>1486600</v>
      </c>
      <c r="R21" s="79"/>
    </row>
    <row r="22" spans="1:18" s="20" customFormat="1" ht="49.5" customHeight="1">
      <c r="A22" s="15" t="s">
        <v>212</v>
      </c>
      <c r="B22" s="15" t="s">
        <v>213</v>
      </c>
      <c r="C22" s="15" t="s">
        <v>214</v>
      </c>
      <c r="D22" s="14" t="s">
        <v>215</v>
      </c>
      <c r="E22" s="58">
        <f t="shared" si="4"/>
        <v>20000</v>
      </c>
      <c r="F22" s="58">
        <v>20000</v>
      </c>
      <c r="G22" s="58"/>
      <c r="H22" s="58"/>
      <c r="I22" s="58"/>
      <c r="J22" s="58"/>
      <c r="K22" s="58"/>
      <c r="L22" s="127"/>
      <c r="M22" s="58"/>
      <c r="N22" s="58"/>
      <c r="O22" s="58"/>
      <c r="P22" s="58"/>
      <c r="Q22" s="58">
        <f t="shared" si="1"/>
        <v>20000</v>
      </c>
      <c r="R22" s="33"/>
    </row>
    <row r="23" spans="1:18" s="20" customFormat="1" ht="31.5" customHeight="1">
      <c r="A23" s="15" t="s">
        <v>222</v>
      </c>
      <c r="B23" s="15" t="s">
        <v>29</v>
      </c>
      <c r="C23" s="15" t="s">
        <v>25</v>
      </c>
      <c r="D23" s="16" t="s">
        <v>223</v>
      </c>
      <c r="E23" s="58">
        <f t="shared" si="4"/>
        <v>2725500</v>
      </c>
      <c r="F23" s="58">
        <f>2625500+100000</f>
        <v>2725500</v>
      </c>
      <c r="G23" s="58"/>
      <c r="H23" s="58"/>
      <c r="I23" s="58"/>
      <c r="J23" s="58"/>
      <c r="K23" s="58"/>
      <c r="L23" s="127"/>
      <c r="M23" s="58"/>
      <c r="N23" s="58"/>
      <c r="O23" s="58"/>
      <c r="P23" s="58"/>
      <c r="Q23" s="58">
        <f t="shared" si="1"/>
        <v>2725500</v>
      </c>
      <c r="R23" s="33"/>
    </row>
    <row r="24" spans="1:18" s="20" customFormat="1" ht="33.75" customHeight="1">
      <c r="A24" s="15" t="s">
        <v>126</v>
      </c>
      <c r="B24" s="15" t="s">
        <v>57</v>
      </c>
      <c r="C24" s="15" t="s">
        <v>58</v>
      </c>
      <c r="D24" s="11" t="s">
        <v>315</v>
      </c>
      <c r="E24" s="58">
        <f t="shared" si="4"/>
        <v>102541114.2</v>
      </c>
      <c r="F24" s="58">
        <f>95964039+5422100-150000+389894+915081.2</f>
        <v>102541114.2</v>
      </c>
      <c r="G24" s="58"/>
      <c r="H24" s="58"/>
      <c r="I24" s="58"/>
      <c r="J24" s="58">
        <f>M24+P24</f>
        <v>18731700</v>
      </c>
      <c r="K24" s="58">
        <f>13237200+500000+100000</f>
        <v>13837200</v>
      </c>
      <c r="L24" s="127">
        <f>13237200+500000+100000</f>
        <v>13837200</v>
      </c>
      <c r="M24" s="58">
        <v>4894500</v>
      </c>
      <c r="N24" s="58"/>
      <c r="O24" s="58"/>
      <c r="P24" s="58">
        <f>13237200+500000+100000</f>
        <v>13837200</v>
      </c>
      <c r="Q24" s="58">
        <f t="shared" si="1"/>
        <v>121272814.2</v>
      </c>
      <c r="R24" s="33"/>
    </row>
    <row r="25" spans="1:18" s="25" customFormat="1" ht="20.25" customHeight="1">
      <c r="A25" s="23"/>
      <c r="B25" s="23"/>
      <c r="C25" s="23"/>
      <c r="D25" s="24" t="s">
        <v>357</v>
      </c>
      <c r="E25" s="66">
        <f t="shared" si="4"/>
        <v>53094900</v>
      </c>
      <c r="F25" s="66">
        <v>53094900</v>
      </c>
      <c r="G25" s="66"/>
      <c r="H25" s="66"/>
      <c r="I25" s="66"/>
      <c r="J25" s="66"/>
      <c r="K25" s="66"/>
      <c r="L25" s="128"/>
      <c r="M25" s="66"/>
      <c r="N25" s="66"/>
      <c r="O25" s="66"/>
      <c r="P25" s="66"/>
      <c r="Q25" s="58">
        <f t="shared" si="1"/>
        <v>53094900</v>
      </c>
    </row>
    <row r="26" spans="1:18" s="20" customFormat="1" ht="94.5">
      <c r="A26" s="15"/>
      <c r="B26" s="15"/>
      <c r="C26" s="15"/>
      <c r="D26" s="82" t="s">
        <v>358</v>
      </c>
      <c r="E26" s="66">
        <f t="shared" si="4"/>
        <v>389894</v>
      </c>
      <c r="F26" s="66">
        <v>389894</v>
      </c>
      <c r="G26" s="66"/>
      <c r="H26" s="66"/>
      <c r="I26" s="66"/>
      <c r="J26" s="66"/>
      <c r="K26" s="66"/>
      <c r="L26" s="128"/>
      <c r="M26" s="66"/>
      <c r="N26" s="66"/>
      <c r="O26" s="66"/>
      <c r="P26" s="66"/>
      <c r="Q26" s="66">
        <f>E26+J26</f>
        <v>389894</v>
      </c>
    </row>
    <row r="27" spans="1:18" s="20" customFormat="1" ht="78.75">
      <c r="A27" s="15"/>
      <c r="B27" s="15"/>
      <c r="C27" s="15"/>
      <c r="D27" s="82" t="s">
        <v>359</v>
      </c>
      <c r="E27" s="66">
        <f t="shared" si="4"/>
        <v>3243839</v>
      </c>
      <c r="F27" s="66">
        <v>3243839</v>
      </c>
      <c r="G27" s="66"/>
      <c r="H27" s="66"/>
      <c r="I27" s="66"/>
      <c r="J27" s="66"/>
      <c r="K27" s="66"/>
      <c r="L27" s="128"/>
      <c r="M27" s="66"/>
      <c r="N27" s="66"/>
      <c r="O27" s="66"/>
      <c r="P27" s="66"/>
      <c r="Q27" s="66">
        <f>E27+J27</f>
        <v>3243839</v>
      </c>
    </row>
    <row r="28" spans="1:18" s="20" customFormat="1" ht="55.5" customHeight="1">
      <c r="A28" s="15"/>
      <c r="B28" s="15"/>
      <c r="C28" s="15"/>
      <c r="D28" s="82" t="s">
        <v>419</v>
      </c>
      <c r="E28" s="66">
        <f t="shared" si="4"/>
        <v>433343</v>
      </c>
      <c r="F28" s="66">
        <v>433343</v>
      </c>
      <c r="G28" s="66"/>
      <c r="H28" s="66"/>
      <c r="I28" s="66"/>
      <c r="J28" s="66"/>
      <c r="K28" s="66"/>
      <c r="L28" s="128"/>
      <c r="M28" s="66"/>
      <c r="N28" s="66"/>
      <c r="O28" s="66"/>
      <c r="P28" s="66"/>
      <c r="Q28" s="66">
        <f>E28+J28</f>
        <v>433343</v>
      </c>
    </row>
    <row r="29" spans="1:18" s="20" customFormat="1" ht="18.75">
      <c r="A29" s="15" t="s">
        <v>127</v>
      </c>
      <c r="B29" s="15" t="s">
        <v>105</v>
      </c>
      <c r="C29" s="15" t="s">
        <v>59</v>
      </c>
      <c r="D29" s="11" t="s">
        <v>106</v>
      </c>
      <c r="E29" s="58">
        <f t="shared" si="4"/>
        <v>10976200</v>
      </c>
      <c r="F29" s="58">
        <f>10938200+38000</f>
        <v>10976200</v>
      </c>
      <c r="G29" s="58"/>
      <c r="H29" s="58"/>
      <c r="I29" s="58"/>
      <c r="J29" s="58">
        <f>M29+P29</f>
        <v>4111500</v>
      </c>
      <c r="K29" s="58">
        <f>550000+33000</f>
        <v>583000</v>
      </c>
      <c r="L29" s="127">
        <f>550000+33000</f>
        <v>583000</v>
      </c>
      <c r="M29" s="58">
        <v>3528500</v>
      </c>
      <c r="N29" s="58"/>
      <c r="O29" s="58"/>
      <c r="P29" s="58">
        <f>550000+33000</f>
        <v>583000</v>
      </c>
      <c r="Q29" s="58">
        <f t="shared" si="1"/>
        <v>15087700</v>
      </c>
      <c r="R29" s="33"/>
    </row>
    <row r="30" spans="1:18" s="20" customFormat="1" ht="32.25">
      <c r="A30" s="15" t="s">
        <v>256</v>
      </c>
      <c r="B30" s="15" t="s">
        <v>251</v>
      </c>
      <c r="C30" s="15" t="s">
        <v>252</v>
      </c>
      <c r="D30" s="11" t="s">
        <v>253</v>
      </c>
      <c r="E30" s="58">
        <f t="shared" si="4"/>
        <v>1570400</v>
      </c>
      <c r="F30" s="58">
        <v>1570400</v>
      </c>
      <c r="G30" s="58"/>
      <c r="H30" s="58"/>
      <c r="I30" s="58"/>
      <c r="J30" s="58"/>
      <c r="K30" s="58"/>
      <c r="L30" s="127"/>
      <c r="M30" s="58"/>
      <c r="N30" s="58"/>
      <c r="O30" s="58"/>
      <c r="P30" s="58"/>
      <c r="Q30" s="58">
        <f>E30+J30</f>
        <v>1570400</v>
      </c>
      <c r="R30" s="33"/>
    </row>
    <row r="31" spans="1:18" s="20" customFormat="1" ht="32.25">
      <c r="A31" s="15" t="s">
        <v>257</v>
      </c>
      <c r="B31" s="15" t="s">
        <v>254</v>
      </c>
      <c r="C31" s="15" t="s">
        <v>252</v>
      </c>
      <c r="D31" s="11" t="s">
        <v>255</v>
      </c>
      <c r="E31" s="58">
        <f t="shared" si="4"/>
        <v>364200</v>
      </c>
      <c r="F31" s="58">
        <v>364200</v>
      </c>
      <c r="G31" s="58"/>
      <c r="H31" s="58"/>
      <c r="I31" s="58"/>
      <c r="J31" s="58"/>
      <c r="K31" s="58"/>
      <c r="L31" s="127"/>
      <c r="M31" s="58"/>
      <c r="N31" s="58"/>
      <c r="O31" s="58"/>
      <c r="P31" s="58"/>
      <c r="Q31" s="58">
        <f>E31+J31</f>
        <v>364200</v>
      </c>
      <c r="R31" s="33"/>
    </row>
    <row r="32" spans="1:18" s="12" customFormat="1" ht="32.25">
      <c r="A32" s="15" t="s">
        <v>360</v>
      </c>
      <c r="B32" s="15" t="s">
        <v>81</v>
      </c>
      <c r="C32" s="15" t="s">
        <v>42</v>
      </c>
      <c r="D32" s="11" t="s">
        <v>91</v>
      </c>
      <c r="E32" s="58">
        <f t="shared" si="4"/>
        <v>33100</v>
      </c>
      <c r="F32" s="58">
        <v>33100</v>
      </c>
      <c r="G32" s="58"/>
      <c r="H32" s="58"/>
      <c r="I32" s="58"/>
      <c r="J32" s="58"/>
      <c r="K32" s="58"/>
      <c r="L32" s="127"/>
      <c r="M32" s="58"/>
      <c r="N32" s="58"/>
      <c r="O32" s="58"/>
      <c r="P32" s="58"/>
      <c r="Q32" s="58">
        <f t="shared" ref="Q32:Q100" si="5">E32+J32</f>
        <v>33100</v>
      </c>
    </row>
    <row r="33" spans="1:17" ht="79.5">
      <c r="A33" s="15" t="s">
        <v>361</v>
      </c>
      <c r="B33" s="15" t="s">
        <v>49</v>
      </c>
      <c r="C33" s="15" t="s">
        <v>42</v>
      </c>
      <c r="D33" s="11" t="s">
        <v>43</v>
      </c>
      <c r="E33" s="58">
        <f t="shared" si="4"/>
        <v>170000</v>
      </c>
      <c r="F33" s="58">
        <v>170000</v>
      </c>
      <c r="G33" s="58"/>
      <c r="H33" s="58"/>
      <c r="I33" s="58"/>
      <c r="J33" s="58"/>
      <c r="K33" s="58"/>
      <c r="L33" s="127"/>
      <c r="M33" s="58"/>
      <c r="N33" s="58"/>
      <c r="O33" s="58"/>
      <c r="P33" s="58"/>
      <c r="Q33" s="58">
        <f t="shared" si="5"/>
        <v>170000</v>
      </c>
    </row>
    <row r="34" spans="1:17" ht="58.5" customHeight="1">
      <c r="A34" s="15" t="s">
        <v>414</v>
      </c>
      <c r="B34" s="15" t="s">
        <v>291</v>
      </c>
      <c r="C34" s="15" t="s">
        <v>35</v>
      </c>
      <c r="D34" s="11" t="s">
        <v>415</v>
      </c>
      <c r="E34" s="58">
        <f t="shared" si="4"/>
        <v>150000</v>
      </c>
      <c r="F34" s="58">
        <v>150000</v>
      </c>
      <c r="G34" s="58"/>
      <c r="H34" s="58"/>
      <c r="I34" s="58"/>
      <c r="J34" s="58"/>
      <c r="K34" s="58"/>
      <c r="L34" s="127"/>
      <c r="M34" s="58"/>
      <c r="N34" s="58"/>
      <c r="O34" s="58"/>
      <c r="P34" s="58"/>
      <c r="Q34" s="58">
        <f t="shared" si="5"/>
        <v>150000</v>
      </c>
    </row>
    <row r="35" spans="1:17" s="20" customFormat="1" ht="32.25" customHeight="1">
      <c r="A35" s="15" t="s">
        <v>295</v>
      </c>
      <c r="B35" s="15" t="s">
        <v>293</v>
      </c>
      <c r="C35" s="15" t="s">
        <v>22</v>
      </c>
      <c r="D35" s="14" t="s">
        <v>294</v>
      </c>
      <c r="E35" s="58">
        <f t="shared" si="4"/>
        <v>2954400</v>
      </c>
      <c r="F35" s="58">
        <v>2954400</v>
      </c>
      <c r="G35" s="58"/>
      <c r="H35" s="58"/>
      <c r="I35" s="58"/>
      <c r="J35" s="58"/>
      <c r="K35" s="58"/>
      <c r="L35" s="127"/>
      <c r="M35" s="58"/>
      <c r="N35" s="58"/>
      <c r="O35" s="58"/>
      <c r="P35" s="58"/>
      <c r="Q35" s="58">
        <f t="shared" si="5"/>
        <v>2954400</v>
      </c>
    </row>
    <row r="36" spans="1:17" s="20" customFormat="1" ht="26.25" hidden="1" customHeight="1">
      <c r="A36" s="15" t="s">
        <v>313</v>
      </c>
      <c r="B36" s="15" t="s">
        <v>238</v>
      </c>
      <c r="C36" s="15" t="s">
        <v>240</v>
      </c>
      <c r="D36" s="14" t="s">
        <v>241</v>
      </c>
      <c r="E36" s="58"/>
      <c r="F36" s="58"/>
      <c r="G36" s="58"/>
      <c r="H36" s="58"/>
      <c r="I36" s="58"/>
      <c r="J36" s="58">
        <f>M36+P36</f>
        <v>0</v>
      </c>
      <c r="K36" s="58"/>
      <c r="L36" s="127"/>
      <c r="M36" s="58"/>
      <c r="N36" s="58"/>
      <c r="O36" s="58"/>
      <c r="P36" s="58"/>
      <c r="Q36" s="58">
        <f t="shared" si="5"/>
        <v>0</v>
      </c>
    </row>
    <row r="37" spans="1:17" s="20" customFormat="1" ht="32.25" customHeight="1">
      <c r="A37" s="15" t="s">
        <v>128</v>
      </c>
      <c r="B37" s="15" t="s">
        <v>87</v>
      </c>
      <c r="C37" s="15" t="s">
        <v>28</v>
      </c>
      <c r="D37" s="14" t="s">
        <v>107</v>
      </c>
      <c r="E37" s="58">
        <f>F37+I37</f>
        <v>4457700</v>
      </c>
      <c r="F37" s="58">
        <f>F38+F39+F40</f>
        <v>4457700</v>
      </c>
      <c r="G37" s="58"/>
      <c r="H37" s="58"/>
      <c r="I37" s="58"/>
      <c r="J37" s="58">
        <f>M37+P37</f>
        <v>440000</v>
      </c>
      <c r="K37" s="58">
        <f>K38+K39+K40</f>
        <v>440000</v>
      </c>
      <c r="L37" s="127">
        <f>L38+L39+L40</f>
        <v>440000</v>
      </c>
      <c r="M37" s="58"/>
      <c r="N37" s="58"/>
      <c r="O37" s="58"/>
      <c r="P37" s="58">
        <f>P38+P39+P40</f>
        <v>440000</v>
      </c>
      <c r="Q37" s="58">
        <f t="shared" si="5"/>
        <v>4897700</v>
      </c>
    </row>
    <row r="38" spans="1:17" s="25" customFormat="1" ht="32.25" customHeight="1">
      <c r="A38" s="23"/>
      <c r="B38" s="23"/>
      <c r="C38" s="23"/>
      <c r="D38" s="56" t="s">
        <v>226</v>
      </c>
      <c r="E38" s="58">
        <f>F38+I38</f>
        <v>1937000</v>
      </c>
      <c r="F38" s="66">
        <v>1937000</v>
      </c>
      <c r="G38" s="66"/>
      <c r="H38" s="66"/>
      <c r="I38" s="66"/>
      <c r="J38" s="58">
        <f>M38+P38</f>
        <v>440000</v>
      </c>
      <c r="K38" s="66">
        <f>140000+300000</f>
        <v>440000</v>
      </c>
      <c r="L38" s="128">
        <f>140000+300000</f>
        <v>440000</v>
      </c>
      <c r="M38" s="66"/>
      <c r="N38" s="66"/>
      <c r="O38" s="66"/>
      <c r="P38" s="66">
        <f>140000+300000</f>
        <v>440000</v>
      </c>
      <c r="Q38" s="58">
        <f t="shared" si="5"/>
        <v>2377000</v>
      </c>
    </row>
    <row r="39" spans="1:17" s="25" customFormat="1" ht="32.25" customHeight="1">
      <c r="A39" s="23"/>
      <c r="B39" s="23"/>
      <c r="C39" s="23"/>
      <c r="D39" s="56" t="s">
        <v>12</v>
      </c>
      <c r="E39" s="58">
        <f>F39+I39</f>
        <v>504700</v>
      </c>
      <c r="F39" s="66">
        <v>504700</v>
      </c>
      <c r="G39" s="66"/>
      <c r="H39" s="66"/>
      <c r="I39" s="66"/>
      <c r="J39" s="58"/>
      <c r="K39" s="66"/>
      <c r="L39" s="128"/>
      <c r="M39" s="66"/>
      <c r="N39" s="66"/>
      <c r="O39" s="66"/>
      <c r="P39" s="66"/>
      <c r="Q39" s="58">
        <f t="shared" si="5"/>
        <v>504700</v>
      </c>
    </row>
    <row r="40" spans="1:17" s="25" customFormat="1" ht="32.25" customHeight="1">
      <c r="A40" s="23"/>
      <c r="B40" s="23"/>
      <c r="C40" s="23"/>
      <c r="D40" s="56" t="s">
        <v>14</v>
      </c>
      <c r="E40" s="58">
        <f>F40+I40</f>
        <v>2016000</v>
      </c>
      <c r="F40" s="66">
        <v>2016000</v>
      </c>
      <c r="G40" s="66"/>
      <c r="H40" s="66"/>
      <c r="I40" s="66"/>
      <c r="J40" s="58"/>
      <c r="K40" s="66"/>
      <c r="L40" s="128"/>
      <c r="M40" s="66"/>
      <c r="N40" s="66"/>
      <c r="O40" s="66"/>
      <c r="P40" s="66"/>
      <c r="Q40" s="58">
        <f t="shared" si="5"/>
        <v>2016000</v>
      </c>
    </row>
    <row r="41" spans="1:17" s="20" customFormat="1" ht="32.25">
      <c r="A41" s="15" t="s">
        <v>220</v>
      </c>
      <c r="B41" s="15" t="s">
        <v>219</v>
      </c>
      <c r="C41" s="15" t="s">
        <v>23</v>
      </c>
      <c r="D41" s="14" t="s">
        <v>221</v>
      </c>
      <c r="E41" s="58">
        <f t="shared" ref="E41:E47" si="6">F41+I41</f>
        <v>300000</v>
      </c>
      <c r="F41" s="58">
        <f>300000+500000-500000</f>
        <v>300000</v>
      </c>
      <c r="G41" s="58"/>
      <c r="H41" s="58"/>
      <c r="I41" s="58"/>
      <c r="J41" s="58"/>
      <c r="K41" s="58"/>
      <c r="L41" s="127"/>
      <c r="M41" s="58"/>
      <c r="N41" s="58"/>
      <c r="O41" s="58"/>
      <c r="P41" s="58"/>
      <c r="Q41" s="58">
        <f t="shared" si="5"/>
        <v>300000</v>
      </c>
    </row>
    <row r="42" spans="1:17" s="20" customFormat="1" ht="18.75">
      <c r="A42" s="15" t="s">
        <v>172</v>
      </c>
      <c r="B42" s="15" t="s">
        <v>171</v>
      </c>
      <c r="C42" s="15" t="s">
        <v>26</v>
      </c>
      <c r="D42" s="11" t="s">
        <v>27</v>
      </c>
      <c r="E42" s="58">
        <f t="shared" si="6"/>
        <v>600000</v>
      </c>
      <c r="F42" s="58">
        <f>300000+300000</f>
        <v>600000</v>
      </c>
      <c r="G42" s="58"/>
      <c r="H42" s="58"/>
      <c r="I42" s="58"/>
      <c r="J42" s="58"/>
      <c r="K42" s="58"/>
      <c r="L42" s="127"/>
      <c r="M42" s="58"/>
      <c r="N42" s="58"/>
      <c r="O42" s="58"/>
      <c r="P42" s="58"/>
      <c r="Q42" s="58">
        <f t="shared" si="5"/>
        <v>600000</v>
      </c>
    </row>
    <row r="43" spans="1:17" s="20" customFormat="1" ht="32.25">
      <c r="A43" s="15" t="s">
        <v>217</v>
      </c>
      <c r="B43" s="15" t="s">
        <v>216</v>
      </c>
      <c r="C43" s="15" t="s">
        <v>46</v>
      </c>
      <c r="D43" s="11" t="s">
        <v>218</v>
      </c>
      <c r="E43" s="58">
        <f t="shared" si="6"/>
        <v>36200</v>
      </c>
      <c r="F43" s="58">
        <v>36200</v>
      </c>
      <c r="G43" s="58"/>
      <c r="H43" s="58"/>
      <c r="I43" s="58"/>
      <c r="J43" s="58"/>
      <c r="K43" s="58"/>
      <c r="L43" s="127"/>
      <c r="M43" s="58"/>
      <c r="N43" s="58"/>
      <c r="O43" s="58"/>
      <c r="P43" s="58"/>
      <c r="Q43" s="58">
        <f t="shared" si="5"/>
        <v>36200</v>
      </c>
    </row>
    <row r="44" spans="1:17" s="20" customFormat="1" ht="37.5" customHeight="1">
      <c r="A44" s="15" t="s">
        <v>272</v>
      </c>
      <c r="B44" s="15" t="s">
        <v>271</v>
      </c>
      <c r="C44" s="15" t="s">
        <v>46</v>
      </c>
      <c r="D44" s="14" t="s">
        <v>273</v>
      </c>
      <c r="E44" s="58">
        <f t="shared" si="6"/>
        <v>2300000</v>
      </c>
      <c r="F44" s="58">
        <f>4600000-2300000</f>
        <v>2300000</v>
      </c>
      <c r="G44" s="58"/>
      <c r="H44" s="58"/>
      <c r="I44" s="58"/>
      <c r="J44" s="58">
        <f>M44+P44</f>
        <v>200000</v>
      </c>
      <c r="K44" s="58">
        <v>200000</v>
      </c>
      <c r="L44" s="127">
        <v>200000</v>
      </c>
      <c r="M44" s="58"/>
      <c r="N44" s="58"/>
      <c r="O44" s="58"/>
      <c r="P44" s="58">
        <v>200000</v>
      </c>
      <c r="Q44" s="58">
        <f t="shared" si="5"/>
        <v>2500000</v>
      </c>
    </row>
    <row r="45" spans="1:17" s="20" customFormat="1" ht="57" customHeight="1">
      <c r="A45" s="15" t="s">
        <v>170</v>
      </c>
      <c r="B45" s="15" t="s">
        <v>169</v>
      </c>
      <c r="C45" s="15" t="s">
        <v>24</v>
      </c>
      <c r="D45" s="11" t="s">
        <v>274</v>
      </c>
      <c r="E45" s="58">
        <f t="shared" si="6"/>
        <v>254300</v>
      </c>
      <c r="F45" s="58">
        <v>254300</v>
      </c>
      <c r="G45" s="58"/>
      <c r="H45" s="58"/>
      <c r="I45" s="58"/>
      <c r="J45" s="58"/>
      <c r="K45" s="58"/>
      <c r="L45" s="127"/>
      <c r="M45" s="58"/>
      <c r="N45" s="58"/>
      <c r="O45" s="58"/>
      <c r="P45" s="58"/>
      <c r="Q45" s="58">
        <f t="shared" si="5"/>
        <v>254300</v>
      </c>
    </row>
    <row r="46" spans="1:17" s="20" customFormat="1" ht="57" customHeight="1">
      <c r="A46" s="15" t="s">
        <v>405</v>
      </c>
      <c r="B46" s="15" t="s">
        <v>406</v>
      </c>
      <c r="C46" s="15" t="s">
        <v>364</v>
      </c>
      <c r="D46" s="70" t="s">
        <v>407</v>
      </c>
      <c r="E46" s="58">
        <f t="shared" si="6"/>
        <v>2300000</v>
      </c>
      <c r="F46" s="58">
        <v>2300000</v>
      </c>
      <c r="G46" s="58"/>
      <c r="H46" s="58"/>
      <c r="I46" s="58"/>
      <c r="J46" s="58"/>
      <c r="K46" s="58"/>
      <c r="L46" s="127"/>
      <c r="M46" s="58"/>
      <c r="N46" s="58"/>
      <c r="O46" s="58"/>
      <c r="P46" s="58"/>
      <c r="Q46" s="58">
        <f t="shared" si="5"/>
        <v>2300000</v>
      </c>
    </row>
    <row r="47" spans="1:17" s="20" customFormat="1" ht="32.25">
      <c r="A47" s="15" t="s">
        <v>362</v>
      </c>
      <c r="B47" s="15" t="s">
        <v>363</v>
      </c>
      <c r="C47" s="15" t="s">
        <v>364</v>
      </c>
      <c r="D47" s="11" t="s">
        <v>365</v>
      </c>
      <c r="E47" s="58">
        <f t="shared" si="6"/>
        <v>156100</v>
      </c>
      <c r="F47" s="58">
        <v>156100</v>
      </c>
      <c r="G47" s="58"/>
      <c r="H47" s="58"/>
      <c r="I47" s="58"/>
      <c r="J47" s="58"/>
      <c r="K47" s="58"/>
      <c r="L47" s="127"/>
      <c r="M47" s="58"/>
      <c r="N47" s="58"/>
      <c r="O47" s="58"/>
      <c r="P47" s="58"/>
      <c r="Q47" s="58">
        <f t="shared" si="5"/>
        <v>156100</v>
      </c>
    </row>
    <row r="48" spans="1:17" s="20" customFormat="1" ht="32.25">
      <c r="A48" s="15" t="s">
        <v>250</v>
      </c>
      <c r="B48" s="15" t="s">
        <v>249</v>
      </c>
      <c r="C48" s="15" t="s">
        <v>89</v>
      </c>
      <c r="D48" s="14" t="s">
        <v>270</v>
      </c>
      <c r="E48" s="58"/>
      <c r="F48" s="58"/>
      <c r="G48" s="58"/>
      <c r="H48" s="58"/>
      <c r="I48" s="58"/>
      <c r="J48" s="58">
        <f>M48+P48</f>
        <v>1043000</v>
      </c>
      <c r="K48" s="58"/>
      <c r="L48" s="127"/>
      <c r="M48" s="58">
        <f>903000+140000</f>
        <v>1043000</v>
      </c>
      <c r="N48" s="58"/>
      <c r="O48" s="58"/>
      <c r="P48" s="58"/>
      <c r="Q48" s="58">
        <f t="shared" si="5"/>
        <v>1043000</v>
      </c>
    </row>
    <row r="49" spans="1:20" s="21" customFormat="1" ht="32.25">
      <c r="A49" s="17" t="s">
        <v>108</v>
      </c>
      <c r="B49" s="17"/>
      <c r="C49" s="17"/>
      <c r="D49" s="18" t="s">
        <v>9</v>
      </c>
      <c r="E49" s="63">
        <f>E50</f>
        <v>269553942</v>
      </c>
      <c r="F49" s="63">
        <f>F50</f>
        <v>269553942</v>
      </c>
      <c r="G49" s="63">
        <f t="shared" ref="G49:P49" si="7">G50</f>
        <v>206918600</v>
      </c>
      <c r="H49" s="63">
        <f t="shared" si="7"/>
        <v>23846900</v>
      </c>
      <c r="I49" s="63"/>
      <c r="J49" s="63">
        <f t="shared" si="7"/>
        <v>39105573.390000001</v>
      </c>
      <c r="K49" s="63">
        <f t="shared" si="7"/>
        <v>27613872.390000001</v>
      </c>
      <c r="L49" s="126">
        <f t="shared" si="7"/>
        <v>26720914</v>
      </c>
      <c r="M49" s="63">
        <f t="shared" si="7"/>
        <v>11461701</v>
      </c>
      <c r="N49" s="63">
        <f t="shared" si="7"/>
        <v>122000</v>
      </c>
      <c r="O49" s="63"/>
      <c r="P49" s="63">
        <f t="shared" si="7"/>
        <v>27643872.390000001</v>
      </c>
      <c r="Q49" s="63">
        <f t="shared" si="5"/>
        <v>308659515.38999999</v>
      </c>
    </row>
    <row r="50" spans="1:20" s="20" customFormat="1" ht="32.25">
      <c r="A50" s="17" t="s">
        <v>109</v>
      </c>
      <c r="B50" s="15"/>
      <c r="C50" s="15"/>
      <c r="D50" s="18" t="s">
        <v>9</v>
      </c>
      <c r="E50" s="63">
        <f>E51+E52+E53+E57+E59+E62+E63+E64+E65+E66+E67+E69+E70+E71+E72</f>
        <v>269553942</v>
      </c>
      <c r="F50" s="63">
        <f t="shared" ref="F50:H50" si="8">F51+F52+F53+F57+F59+F62+F63+F64+F65+F66+F67+F69+F70+F71+F72</f>
        <v>269553942</v>
      </c>
      <c r="G50" s="63">
        <f t="shared" si="8"/>
        <v>206918600</v>
      </c>
      <c r="H50" s="63">
        <f t="shared" si="8"/>
        <v>23846900</v>
      </c>
      <c r="I50" s="63"/>
      <c r="J50" s="63">
        <f>J51+J52+J53+J57+J59+J62+J63+J64+J65+J66+J67+J69+J70+J71+J72</f>
        <v>39105573.390000001</v>
      </c>
      <c r="K50" s="63">
        <f t="shared" ref="K50:P50" si="9">K51+K52+K53+K57+K59+K62+K63+K64+K65+K66+K67+K69+K70+K71+K72</f>
        <v>27613872.390000001</v>
      </c>
      <c r="L50" s="126">
        <f t="shared" si="9"/>
        <v>26720914</v>
      </c>
      <c r="M50" s="63">
        <f t="shared" si="9"/>
        <v>11461701</v>
      </c>
      <c r="N50" s="63">
        <f t="shared" si="9"/>
        <v>122000</v>
      </c>
      <c r="O50" s="63"/>
      <c r="P50" s="63">
        <f t="shared" si="9"/>
        <v>27643872.390000001</v>
      </c>
      <c r="Q50" s="63">
        <f t="shared" si="5"/>
        <v>308659515.38999999</v>
      </c>
    </row>
    <row r="51" spans="1:20" s="20" customFormat="1" ht="48">
      <c r="A51" s="15" t="s">
        <v>111</v>
      </c>
      <c r="B51" s="15" t="s">
        <v>110</v>
      </c>
      <c r="C51" s="15" t="s">
        <v>21</v>
      </c>
      <c r="D51" s="19" t="s">
        <v>112</v>
      </c>
      <c r="E51" s="58">
        <f>F51+I51</f>
        <v>1998800</v>
      </c>
      <c r="F51" s="58">
        <f>1849200+122600+27000</f>
        <v>1998800</v>
      </c>
      <c r="G51" s="58">
        <f>1795000+122600+27000</f>
        <v>1944600</v>
      </c>
      <c r="H51" s="58">
        <v>22530</v>
      </c>
      <c r="I51" s="58"/>
      <c r="J51" s="58">
        <f t="shared" ref="J51:J72" si="10">M51+P51</f>
        <v>0</v>
      </c>
      <c r="K51" s="58"/>
      <c r="L51" s="127"/>
      <c r="M51" s="58"/>
      <c r="N51" s="58"/>
      <c r="O51" s="58"/>
      <c r="P51" s="58"/>
      <c r="Q51" s="58">
        <f t="shared" si="5"/>
        <v>1998800</v>
      </c>
    </row>
    <row r="52" spans="1:20" s="20" customFormat="1" ht="18.75">
      <c r="A52" s="15" t="s">
        <v>113</v>
      </c>
      <c r="B52" s="15" t="s">
        <v>30</v>
      </c>
      <c r="C52" s="15" t="s">
        <v>31</v>
      </c>
      <c r="D52" s="11" t="s">
        <v>114</v>
      </c>
      <c r="E52" s="58">
        <f>F52+I52</f>
        <v>87874700</v>
      </c>
      <c r="F52" s="59">
        <f>83674700+4000000-50000+250000</f>
        <v>87874700</v>
      </c>
      <c r="G52" s="59">
        <f>59862300+4000000</f>
        <v>63862300</v>
      </c>
      <c r="H52" s="59">
        <f>10791420-700000</f>
        <v>10091420</v>
      </c>
      <c r="I52" s="59"/>
      <c r="J52" s="58">
        <f t="shared" si="10"/>
        <v>15763258.390000001</v>
      </c>
      <c r="K52" s="59">
        <f>1500000+1000000+2500000+22958.39</f>
        <v>5022958.3899999997</v>
      </c>
      <c r="L52" s="129">
        <f>1500000+1000000+2500000</f>
        <v>5000000</v>
      </c>
      <c r="M52" s="59">
        <v>10740300</v>
      </c>
      <c r="N52" s="59"/>
      <c r="O52" s="59"/>
      <c r="P52" s="59">
        <f>1500000+1000000+2500000+22958.39</f>
        <v>5022958.3899999997</v>
      </c>
      <c r="Q52" s="58">
        <f t="shared" si="5"/>
        <v>103637958.39</v>
      </c>
    </row>
    <row r="53" spans="1:20" s="20" customFormat="1" ht="79.5">
      <c r="A53" s="15" t="s">
        <v>115</v>
      </c>
      <c r="B53" s="15" t="s">
        <v>32</v>
      </c>
      <c r="C53" s="15" t="s">
        <v>33</v>
      </c>
      <c r="D53" s="19" t="s">
        <v>34</v>
      </c>
      <c r="E53" s="58">
        <f>F53+I53</f>
        <v>128295842</v>
      </c>
      <c r="F53" s="59">
        <f>126092500+49300-50000+2204042</f>
        <v>128295842</v>
      </c>
      <c r="G53" s="59">
        <v>108591700</v>
      </c>
      <c r="H53" s="59">
        <v>11990110</v>
      </c>
      <c r="I53" s="59"/>
      <c r="J53" s="58">
        <f t="shared" si="10"/>
        <v>16209579</v>
      </c>
      <c r="K53" s="59">
        <f>3000000+2000000+10000000+774579</f>
        <v>15774579</v>
      </c>
      <c r="L53" s="129">
        <f>3000000+2000000+10000000-95421</f>
        <v>14904579</v>
      </c>
      <c r="M53" s="59">
        <v>435000</v>
      </c>
      <c r="N53" s="59">
        <f>100000+22000</f>
        <v>122000</v>
      </c>
      <c r="O53" s="59"/>
      <c r="P53" s="59">
        <f>3000000+2000000+10000000+774579</f>
        <v>15774579</v>
      </c>
      <c r="Q53" s="58">
        <f t="shared" si="5"/>
        <v>144505421</v>
      </c>
      <c r="S53" s="33"/>
    </row>
    <row r="54" spans="1:20" s="20" customFormat="1" ht="18.75">
      <c r="A54" s="15"/>
      <c r="B54" s="15"/>
      <c r="C54" s="15"/>
      <c r="D54" s="19" t="s">
        <v>327</v>
      </c>
      <c r="E54" s="59"/>
      <c r="F54" s="59"/>
      <c r="G54" s="59"/>
      <c r="H54" s="59"/>
      <c r="I54" s="59"/>
      <c r="J54" s="58"/>
      <c r="K54" s="59"/>
      <c r="L54" s="129"/>
      <c r="M54" s="59"/>
      <c r="N54" s="59"/>
      <c r="O54" s="59"/>
      <c r="P54" s="59"/>
      <c r="Q54" s="58"/>
      <c r="S54" s="33"/>
    </row>
    <row r="55" spans="1:20" s="25" customFormat="1" ht="48">
      <c r="A55" s="23"/>
      <c r="B55" s="23"/>
      <c r="C55" s="23"/>
      <c r="D55" s="24" t="s">
        <v>328</v>
      </c>
      <c r="E55" s="104">
        <f>F55</f>
        <v>90631400</v>
      </c>
      <c r="F55" s="104">
        <f>G55</f>
        <v>90631400</v>
      </c>
      <c r="G55" s="104">
        <v>90631400</v>
      </c>
      <c r="H55" s="104"/>
      <c r="I55" s="104"/>
      <c r="J55" s="66">
        <f>M55+P55</f>
        <v>0</v>
      </c>
      <c r="K55" s="104"/>
      <c r="L55" s="130"/>
      <c r="M55" s="104"/>
      <c r="N55" s="104"/>
      <c r="O55" s="104"/>
      <c r="P55" s="104"/>
      <c r="Q55" s="66">
        <f>E55+J55</f>
        <v>90631400</v>
      </c>
      <c r="T55" s="39"/>
    </row>
    <row r="56" spans="1:20" s="25" customFormat="1" ht="79.5">
      <c r="A56" s="23"/>
      <c r="B56" s="23"/>
      <c r="C56" s="23"/>
      <c r="D56" s="24" t="s">
        <v>366</v>
      </c>
      <c r="E56" s="104">
        <f>F56+I56</f>
        <v>37221</v>
      </c>
      <c r="F56" s="104">
        <f>49300-12079</f>
        <v>37221</v>
      </c>
      <c r="G56" s="104"/>
      <c r="H56" s="104"/>
      <c r="I56" s="104"/>
      <c r="J56" s="66">
        <f>M56+P56</f>
        <v>12079</v>
      </c>
      <c r="K56" s="104">
        <v>12079</v>
      </c>
      <c r="L56" s="130">
        <v>12079</v>
      </c>
      <c r="M56" s="104"/>
      <c r="N56" s="104"/>
      <c r="O56" s="104"/>
      <c r="P56" s="104">
        <v>12079</v>
      </c>
      <c r="Q56" s="66">
        <f>E56+J56</f>
        <v>49300</v>
      </c>
      <c r="T56" s="39"/>
    </row>
    <row r="57" spans="1:20" s="20" customFormat="1" ht="32.25">
      <c r="A57" s="15" t="s">
        <v>116</v>
      </c>
      <c r="B57" s="15" t="s">
        <v>35</v>
      </c>
      <c r="C57" s="15" t="s">
        <v>33</v>
      </c>
      <c r="D57" s="19" t="s">
        <v>36</v>
      </c>
      <c r="E57" s="59">
        <f>F57+I57</f>
        <v>766500</v>
      </c>
      <c r="F57" s="59">
        <v>766500</v>
      </c>
      <c r="G57" s="59">
        <v>688400</v>
      </c>
      <c r="H57" s="59">
        <v>71240</v>
      </c>
      <c r="I57" s="59"/>
      <c r="J57" s="58">
        <f t="shared" si="10"/>
        <v>0</v>
      </c>
      <c r="K57" s="59"/>
      <c r="L57" s="129"/>
      <c r="M57" s="59"/>
      <c r="N57" s="59"/>
      <c r="O57" s="59"/>
      <c r="P57" s="59"/>
      <c r="Q57" s="58">
        <f t="shared" si="5"/>
        <v>766500</v>
      </c>
      <c r="T57" s="34"/>
    </row>
    <row r="58" spans="1:20" s="25" customFormat="1" ht="63.75">
      <c r="A58" s="23"/>
      <c r="B58" s="23"/>
      <c r="C58" s="23"/>
      <c r="D58" s="24" t="s">
        <v>19</v>
      </c>
      <c r="E58" s="104">
        <f>F58+I58</f>
        <v>618900</v>
      </c>
      <c r="F58" s="104">
        <f>G58</f>
        <v>618900</v>
      </c>
      <c r="G58" s="104">
        <v>618900</v>
      </c>
      <c r="H58" s="104"/>
      <c r="I58" s="104"/>
      <c r="J58" s="66">
        <f t="shared" si="10"/>
        <v>0</v>
      </c>
      <c r="K58" s="104"/>
      <c r="L58" s="130"/>
      <c r="M58" s="104"/>
      <c r="N58" s="104"/>
      <c r="O58" s="104"/>
      <c r="P58" s="104"/>
      <c r="Q58" s="66">
        <f t="shared" si="5"/>
        <v>618900</v>
      </c>
      <c r="T58" s="39"/>
    </row>
    <row r="59" spans="1:20" s="20" customFormat="1" ht="79.5">
      <c r="A59" s="15" t="s">
        <v>117</v>
      </c>
      <c r="B59" s="15" t="s">
        <v>64</v>
      </c>
      <c r="C59" s="15" t="s">
        <v>37</v>
      </c>
      <c r="D59" s="19" t="s">
        <v>95</v>
      </c>
      <c r="E59" s="59">
        <f>F59+I59</f>
        <v>10457600</v>
      </c>
      <c r="F59" s="59">
        <v>10457600</v>
      </c>
      <c r="G59" s="59">
        <v>9130300</v>
      </c>
      <c r="H59" s="59">
        <v>612320</v>
      </c>
      <c r="I59" s="59"/>
      <c r="J59" s="58">
        <f t="shared" si="10"/>
        <v>391735</v>
      </c>
      <c r="K59" s="59">
        <f>300000+61735</f>
        <v>361735</v>
      </c>
      <c r="L59" s="129">
        <f>300000+61735</f>
        <v>361735</v>
      </c>
      <c r="M59" s="59">
        <v>30000</v>
      </c>
      <c r="N59" s="59"/>
      <c r="O59" s="59"/>
      <c r="P59" s="59">
        <f>300000+61735</f>
        <v>361735</v>
      </c>
      <c r="Q59" s="58">
        <f t="shared" si="5"/>
        <v>10849335</v>
      </c>
    </row>
    <row r="60" spans="1:20" s="20" customFormat="1" ht="18.75">
      <c r="A60" s="15"/>
      <c r="B60" s="15"/>
      <c r="C60" s="15"/>
      <c r="D60" s="19" t="s">
        <v>327</v>
      </c>
      <c r="E60" s="59"/>
      <c r="F60" s="59"/>
      <c r="G60" s="59"/>
      <c r="H60" s="59"/>
      <c r="I60" s="59"/>
      <c r="J60" s="58"/>
      <c r="K60" s="59"/>
      <c r="L60" s="129"/>
      <c r="M60" s="59"/>
      <c r="N60" s="59"/>
      <c r="O60" s="59"/>
      <c r="P60" s="59"/>
      <c r="Q60" s="58"/>
    </row>
    <row r="61" spans="1:20" s="25" customFormat="1" ht="48">
      <c r="A61" s="23"/>
      <c r="B61" s="23"/>
      <c r="C61" s="23"/>
      <c r="D61" s="24" t="s">
        <v>328</v>
      </c>
      <c r="E61" s="104">
        <f t="shared" ref="E61:E71" si="11">F61+I61</f>
        <v>8057500</v>
      </c>
      <c r="F61" s="104">
        <f>G61</f>
        <v>8057500</v>
      </c>
      <c r="G61" s="104">
        <v>8057500</v>
      </c>
      <c r="H61" s="104"/>
      <c r="I61" s="104"/>
      <c r="J61" s="66">
        <f t="shared" si="10"/>
        <v>0</v>
      </c>
      <c r="K61" s="104"/>
      <c r="L61" s="130"/>
      <c r="M61" s="104"/>
      <c r="N61" s="104"/>
      <c r="O61" s="104"/>
      <c r="P61" s="104"/>
      <c r="Q61" s="66">
        <f t="shared" si="5"/>
        <v>8057500</v>
      </c>
    </row>
    <row r="62" spans="1:20" s="20" customFormat="1" ht="48">
      <c r="A62" s="15" t="s">
        <v>118</v>
      </c>
      <c r="B62" s="15" t="s">
        <v>22</v>
      </c>
      <c r="C62" s="15" t="s">
        <v>38</v>
      </c>
      <c r="D62" s="19" t="s">
        <v>39</v>
      </c>
      <c r="E62" s="59">
        <f t="shared" si="11"/>
        <v>13396100</v>
      </c>
      <c r="F62" s="59">
        <f>13396100-50000+50000</f>
        <v>13396100</v>
      </c>
      <c r="G62" s="59">
        <v>10632000</v>
      </c>
      <c r="H62" s="59">
        <v>368380</v>
      </c>
      <c r="I62" s="59"/>
      <c r="J62" s="58">
        <f t="shared" si="10"/>
        <v>476400</v>
      </c>
      <c r="K62" s="59">
        <f>300000</f>
        <v>300000</v>
      </c>
      <c r="L62" s="129">
        <f>300000</f>
        <v>300000</v>
      </c>
      <c r="M62" s="59">
        <v>146400</v>
      </c>
      <c r="N62" s="59"/>
      <c r="O62" s="59"/>
      <c r="P62" s="59">
        <f>30000+300000</f>
        <v>330000</v>
      </c>
      <c r="Q62" s="58">
        <f t="shared" si="5"/>
        <v>13872500</v>
      </c>
    </row>
    <row r="63" spans="1:20" s="20" customFormat="1" ht="32.25">
      <c r="A63" s="15" t="s">
        <v>121</v>
      </c>
      <c r="B63" s="15" t="s">
        <v>119</v>
      </c>
      <c r="C63" s="15" t="s">
        <v>40</v>
      </c>
      <c r="D63" s="11" t="s">
        <v>120</v>
      </c>
      <c r="E63" s="59">
        <f t="shared" si="11"/>
        <v>162400</v>
      </c>
      <c r="F63" s="59">
        <v>162400</v>
      </c>
      <c r="G63" s="59"/>
      <c r="H63" s="59"/>
      <c r="I63" s="59"/>
      <c r="J63" s="58">
        <f t="shared" si="10"/>
        <v>0</v>
      </c>
      <c r="K63" s="59"/>
      <c r="L63" s="129"/>
      <c r="M63" s="59"/>
      <c r="N63" s="59"/>
      <c r="O63" s="59"/>
      <c r="P63" s="59"/>
      <c r="Q63" s="58">
        <f t="shared" si="5"/>
        <v>162400</v>
      </c>
    </row>
    <row r="64" spans="1:20" s="20" customFormat="1" ht="32.25">
      <c r="A64" s="15" t="s">
        <v>137</v>
      </c>
      <c r="B64" s="15" t="s">
        <v>136</v>
      </c>
      <c r="C64" s="15" t="s">
        <v>41</v>
      </c>
      <c r="D64" s="19" t="s">
        <v>138</v>
      </c>
      <c r="E64" s="59">
        <f t="shared" si="11"/>
        <v>1823400</v>
      </c>
      <c r="F64" s="59">
        <v>1823400</v>
      </c>
      <c r="G64" s="59">
        <v>1513900</v>
      </c>
      <c r="H64" s="59">
        <v>26820</v>
      </c>
      <c r="I64" s="59"/>
      <c r="J64" s="58">
        <f t="shared" si="10"/>
        <v>0</v>
      </c>
      <c r="K64" s="59"/>
      <c r="L64" s="129"/>
      <c r="M64" s="59"/>
      <c r="N64" s="59"/>
      <c r="O64" s="59"/>
      <c r="P64" s="59"/>
      <c r="Q64" s="58">
        <f t="shared" si="5"/>
        <v>1823400</v>
      </c>
    </row>
    <row r="65" spans="1:17" s="20" customFormat="1" ht="32.25">
      <c r="A65" s="15" t="s">
        <v>260</v>
      </c>
      <c r="B65" s="15" t="s">
        <v>259</v>
      </c>
      <c r="C65" s="15" t="s">
        <v>41</v>
      </c>
      <c r="D65" s="19" t="s">
        <v>299</v>
      </c>
      <c r="E65" s="59">
        <f t="shared" si="11"/>
        <v>6339100</v>
      </c>
      <c r="F65" s="59">
        <f>7652800-1313700</f>
        <v>6339100</v>
      </c>
      <c r="G65" s="59">
        <f>6673900-1276800</f>
        <v>5397100</v>
      </c>
      <c r="H65" s="59">
        <v>269630</v>
      </c>
      <c r="I65" s="59"/>
      <c r="J65" s="58">
        <f t="shared" si="10"/>
        <v>1</v>
      </c>
      <c r="K65" s="59"/>
      <c r="L65" s="129"/>
      <c r="M65" s="59">
        <v>1</v>
      </c>
      <c r="N65" s="59"/>
      <c r="O65" s="59"/>
      <c r="P65" s="59"/>
      <c r="Q65" s="58">
        <f t="shared" si="5"/>
        <v>6339101</v>
      </c>
    </row>
    <row r="66" spans="1:17" s="20" customFormat="1" ht="18.75">
      <c r="A66" s="15" t="s">
        <v>300</v>
      </c>
      <c r="B66" s="15" t="s">
        <v>301</v>
      </c>
      <c r="C66" s="15" t="s">
        <v>41</v>
      </c>
      <c r="D66" s="19" t="s">
        <v>302</v>
      </c>
      <c r="E66" s="59">
        <f t="shared" si="11"/>
        <v>30800</v>
      </c>
      <c r="F66" s="59">
        <v>30800</v>
      </c>
      <c r="G66" s="59"/>
      <c r="H66" s="59"/>
      <c r="I66" s="59"/>
      <c r="J66" s="58">
        <f t="shared" si="10"/>
        <v>0</v>
      </c>
      <c r="K66" s="59"/>
      <c r="L66" s="129"/>
      <c r="M66" s="59"/>
      <c r="N66" s="59"/>
      <c r="O66" s="59"/>
      <c r="P66" s="59"/>
      <c r="Q66" s="58">
        <f t="shared" si="5"/>
        <v>30800</v>
      </c>
    </row>
    <row r="67" spans="1:17" s="20" customFormat="1" ht="32.25">
      <c r="A67" s="15" t="s">
        <v>402</v>
      </c>
      <c r="B67" s="15" t="s">
        <v>401</v>
      </c>
      <c r="C67" s="15" t="s">
        <v>41</v>
      </c>
      <c r="D67" s="19" t="s">
        <v>400</v>
      </c>
      <c r="E67" s="59">
        <f t="shared" si="11"/>
        <v>1013700</v>
      </c>
      <c r="F67" s="59">
        <v>1013700</v>
      </c>
      <c r="G67" s="59">
        <v>976800</v>
      </c>
      <c r="H67" s="59"/>
      <c r="I67" s="59"/>
      <c r="J67" s="58">
        <f t="shared" si="10"/>
        <v>363000</v>
      </c>
      <c r="K67" s="59">
        <v>363000</v>
      </c>
      <c r="L67" s="129">
        <v>363000</v>
      </c>
      <c r="M67" s="59"/>
      <c r="N67" s="59"/>
      <c r="O67" s="59"/>
      <c r="P67" s="59">
        <v>363000</v>
      </c>
      <c r="Q67" s="58">
        <f t="shared" si="5"/>
        <v>1376700</v>
      </c>
    </row>
    <row r="68" spans="1:17" s="20" customFormat="1" ht="70.5" customHeight="1">
      <c r="A68" s="15"/>
      <c r="B68" s="15"/>
      <c r="C68" s="15"/>
      <c r="D68" s="19" t="s">
        <v>403</v>
      </c>
      <c r="E68" s="59">
        <f t="shared" si="11"/>
        <v>363000</v>
      </c>
      <c r="F68" s="59">
        <v>363000</v>
      </c>
      <c r="G68" s="59">
        <v>363000</v>
      </c>
      <c r="H68" s="59"/>
      <c r="I68" s="59"/>
      <c r="J68" s="58"/>
      <c r="K68" s="59"/>
      <c r="L68" s="129"/>
      <c r="M68" s="59"/>
      <c r="N68" s="59"/>
      <c r="O68" s="59"/>
      <c r="P68" s="59"/>
      <c r="Q68" s="58"/>
    </row>
    <row r="69" spans="1:17" s="20" customFormat="1" ht="79.5">
      <c r="A69" s="15" t="s">
        <v>122</v>
      </c>
      <c r="B69" s="15" t="s">
        <v>49</v>
      </c>
      <c r="C69" s="15" t="s">
        <v>42</v>
      </c>
      <c r="D69" s="11" t="s">
        <v>43</v>
      </c>
      <c r="E69" s="58">
        <f t="shared" si="11"/>
        <v>1153100</v>
      </c>
      <c r="F69" s="58">
        <v>1153100</v>
      </c>
      <c r="G69" s="58"/>
      <c r="H69" s="58"/>
      <c r="I69" s="58"/>
      <c r="J69" s="58">
        <f t="shared" si="10"/>
        <v>0</v>
      </c>
      <c r="K69" s="58"/>
      <c r="L69" s="127"/>
      <c r="M69" s="58"/>
      <c r="N69" s="58"/>
      <c r="O69" s="58"/>
      <c r="P69" s="58"/>
      <c r="Q69" s="58">
        <f t="shared" si="5"/>
        <v>1153100</v>
      </c>
    </row>
    <row r="70" spans="1:17" s="20" customFormat="1" ht="32.25">
      <c r="A70" s="15" t="s">
        <v>296</v>
      </c>
      <c r="B70" s="15" t="s">
        <v>293</v>
      </c>
      <c r="C70" s="15" t="s">
        <v>22</v>
      </c>
      <c r="D70" s="19" t="s">
        <v>294</v>
      </c>
      <c r="E70" s="58">
        <f t="shared" si="11"/>
        <v>10702600</v>
      </c>
      <c r="F70" s="58">
        <v>10702600</v>
      </c>
      <c r="G70" s="58"/>
      <c r="H70" s="58"/>
      <c r="I70" s="58"/>
      <c r="J70" s="58">
        <f t="shared" si="10"/>
        <v>0</v>
      </c>
      <c r="K70" s="58"/>
      <c r="L70" s="127"/>
      <c r="M70" s="58"/>
      <c r="N70" s="58"/>
      <c r="O70" s="58"/>
      <c r="P70" s="58"/>
      <c r="Q70" s="58">
        <f t="shared" si="5"/>
        <v>10702600</v>
      </c>
    </row>
    <row r="71" spans="1:17" s="20" customFormat="1" ht="46.5" customHeight="1">
      <c r="A71" s="15" t="s">
        <v>129</v>
      </c>
      <c r="B71" s="15" t="s">
        <v>96</v>
      </c>
      <c r="C71" s="15" t="s">
        <v>44</v>
      </c>
      <c r="D71" s="11" t="s">
        <v>45</v>
      </c>
      <c r="E71" s="59">
        <f t="shared" si="11"/>
        <v>5539300</v>
      </c>
      <c r="F71" s="59">
        <f>5189300-50000+400000</f>
        <v>5539300</v>
      </c>
      <c r="G71" s="59">
        <v>4181500</v>
      </c>
      <c r="H71" s="59">
        <v>394450</v>
      </c>
      <c r="I71" s="59"/>
      <c r="J71" s="58">
        <f t="shared" si="10"/>
        <v>5901600</v>
      </c>
      <c r="K71" s="59">
        <v>5791600</v>
      </c>
      <c r="L71" s="129">
        <v>5791600</v>
      </c>
      <c r="M71" s="59">
        <v>110000</v>
      </c>
      <c r="N71" s="59"/>
      <c r="O71" s="59"/>
      <c r="P71" s="59">
        <v>5791600</v>
      </c>
      <c r="Q71" s="58">
        <f t="shared" si="5"/>
        <v>11440900</v>
      </c>
    </row>
    <row r="72" spans="1:17" s="20" customFormat="1" ht="32.25" hidden="1">
      <c r="A72" s="15" t="s">
        <v>320</v>
      </c>
      <c r="B72" s="15" t="s">
        <v>266</v>
      </c>
      <c r="C72" s="15" t="s">
        <v>46</v>
      </c>
      <c r="D72" s="14" t="s">
        <v>233</v>
      </c>
      <c r="E72" s="59"/>
      <c r="F72" s="59"/>
      <c r="G72" s="59"/>
      <c r="H72" s="59"/>
      <c r="I72" s="59"/>
      <c r="J72" s="58">
        <f t="shared" si="10"/>
        <v>0</v>
      </c>
      <c r="K72" s="59">
        <f>1500-1500</f>
        <v>0</v>
      </c>
      <c r="L72" s="129">
        <f>1500-1500</f>
        <v>0</v>
      </c>
      <c r="M72" s="59"/>
      <c r="N72" s="59"/>
      <c r="O72" s="59"/>
      <c r="P72" s="59">
        <f>1500-1500</f>
        <v>0</v>
      </c>
      <c r="Q72" s="58">
        <f t="shared" si="5"/>
        <v>0</v>
      </c>
    </row>
    <row r="73" spans="1:17" s="21" customFormat="1" ht="55.5" customHeight="1">
      <c r="A73" s="17" t="s">
        <v>130</v>
      </c>
      <c r="B73" s="17"/>
      <c r="C73" s="17"/>
      <c r="D73" s="18" t="s">
        <v>15</v>
      </c>
      <c r="E73" s="63">
        <f>E74</f>
        <v>156251720</v>
      </c>
      <c r="F73" s="63">
        <f>F74</f>
        <v>156251720</v>
      </c>
      <c r="G73" s="63">
        <f t="shared" ref="G73:P73" si="12">G74</f>
        <v>16512200</v>
      </c>
      <c r="H73" s="63">
        <f t="shared" si="12"/>
        <v>507900</v>
      </c>
      <c r="I73" s="63">
        <f t="shared" si="12"/>
        <v>0</v>
      </c>
      <c r="J73" s="63">
        <f t="shared" si="12"/>
        <v>66000</v>
      </c>
      <c r="K73" s="63">
        <f t="shared" si="12"/>
        <v>44000</v>
      </c>
      <c r="L73" s="126">
        <f t="shared" si="12"/>
        <v>44000</v>
      </c>
      <c r="M73" s="63">
        <f t="shared" si="12"/>
        <v>8000</v>
      </c>
      <c r="N73" s="63">
        <f t="shared" si="12"/>
        <v>0</v>
      </c>
      <c r="O73" s="63">
        <f t="shared" si="12"/>
        <v>0</v>
      </c>
      <c r="P73" s="63">
        <f t="shared" si="12"/>
        <v>58000</v>
      </c>
      <c r="Q73" s="63">
        <f t="shared" si="5"/>
        <v>156317720</v>
      </c>
    </row>
    <row r="74" spans="1:17" s="20" customFormat="1" ht="49.5" customHeight="1">
      <c r="A74" s="17" t="s">
        <v>131</v>
      </c>
      <c r="B74" s="15"/>
      <c r="C74" s="15"/>
      <c r="D74" s="18" t="s">
        <v>15</v>
      </c>
      <c r="E74" s="63">
        <f>E75+E76+E100+E102+E103+E98+E104+E77+E78+E79+E80+E81+E82+E83+E84+E85+E86+E87+E88+E89+E90+E91+E92+E94+E96+E97+E99+E101+E93+E95</f>
        <v>156251720</v>
      </c>
      <c r="F74" s="63">
        <f t="shared" ref="F74:P74" si="13">F75+F76+F100+F102+F103+F98+F104+F77+F78+F79+F80+F81+F82+F83+F84+F85+F86+F87+F88+F89+F90+F91+F92+F94+F96+F97+F99+F101+F93+F95</f>
        <v>156251720</v>
      </c>
      <c r="G74" s="63">
        <f t="shared" si="13"/>
        <v>16512200</v>
      </c>
      <c r="H74" s="63">
        <f t="shared" si="13"/>
        <v>507900</v>
      </c>
      <c r="I74" s="63">
        <f t="shared" si="13"/>
        <v>0</v>
      </c>
      <c r="J74" s="63">
        <f t="shared" si="13"/>
        <v>66000</v>
      </c>
      <c r="K74" s="63">
        <f t="shared" si="13"/>
        <v>44000</v>
      </c>
      <c r="L74" s="126">
        <f t="shared" si="13"/>
        <v>44000</v>
      </c>
      <c r="M74" s="63">
        <f t="shared" si="13"/>
        <v>8000</v>
      </c>
      <c r="N74" s="63">
        <f t="shared" si="13"/>
        <v>0</v>
      </c>
      <c r="O74" s="63">
        <f t="shared" si="13"/>
        <v>0</v>
      </c>
      <c r="P74" s="63">
        <f t="shared" si="13"/>
        <v>58000</v>
      </c>
      <c r="Q74" s="63">
        <f t="shared" si="5"/>
        <v>156317720</v>
      </c>
    </row>
    <row r="75" spans="1:17" s="20" customFormat="1" ht="48">
      <c r="A75" s="15" t="s">
        <v>132</v>
      </c>
      <c r="B75" s="15" t="s">
        <v>110</v>
      </c>
      <c r="C75" s="15" t="s">
        <v>21</v>
      </c>
      <c r="D75" s="14" t="s">
        <v>112</v>
      </c>
      <c r="E75" s="58">
        <f>F75+I75</f>
        <v>9864800</v>
      </c>
      <c r="F75" s="58">
        <f>9174300+566000+124500-196000+196000</f>
        <v>9864800</v>
      </c>
      <c r="G75" s="58">
        <f>8285700+566000+124500</f>
        <v>8976200</v>
      </c>
      <c r="H75" s="58">
        <v>324400</v>
      </c>
      <c r="I75" s="58"/>
      <c r="J75" s="58">
        <f>M75+P75</f>
        <v>32000</v>
      </c>
      <c r="K75" s="58">
        <v>32000</v>
      </c>
      <c r="L75" s="127">
        <v>32000</v>
      </c>
      <c r="M75" s="58"/>
      <c r="N75" s="58"/>
      <c r="O75" s="58"/>
      <c r="P75" s="58">
        <v>32000</v>
      </c>
      <c r="Q75" s="58">
        <f t="shared" si="5"/>
        <v>9896800</v>
      </c>
    </row>
    <row r="76" spans="1:17" s="13" customFormat="1" ht="18.75">
      <c r="A76" s="15" t="s">
        <v>325</v>
      </c>
      <c r="B76" s="15" t="s">
        <v>29</v>
      </c>
      <c r="C76" s="15" t="s">
        <v>25</v>
      </c>
      <c r="D76" s="37" t="s">
        <v>182</v>
      </c>
      <c r="E76" s="58">
        <f>F76+I76</f>
        <v>10000</v>
      </c>
      <c r="F76" s="58">
        <v>10000</v>
      </c>
      <c r="G76" s="63"/>
      <c r="H76" s="63"/>
      <c r="I76" s="63"/>
      <c r="J76" s="63"/>
      <c r="K76" s="63"/>
      <c r="L76" s="126"/>
      <c r="M76" s="63"/>
      <c r="N76" s="63"/>
      <c r="O76" s="63"/>
      <c r="P76" s="63"/>
      <c r="Q76" s="58">
        <f t="shared" si="5"/>
        <v>10000</v>
      </c>
    </row>
    <row r="77" spans="1:17" s="40" customFormat="1" ht="48">
      <c r="A77" s="15" t="s">
        <v>195</v>
      </c>
      <c r="B77" s="15" t="s">
        <v>60</v>
      </c>
      <c r="C77" s="15" t="s">
        <v>35</v>
      </c>
      <c r="D77" s="11" t="s">
        <v>194</v>
      </c>
      <c r="E77" s="58">
        <f>F77+I77</f>
        <v>5765500</v>
      </c>
      <c r="F77" s="58">
        <v>5765500</v>
      </c>
      <c r="G77" s="58"/>
      <c r="H77" s="58"/>
      <c r="I77" s="58"/>
      <c r="J77" s="63"/>
      <c r="K77" s="58"/>
      <c r="L77" s="127"/>
      <c r="M77" s="58"/>
      <c r="N77" s="58"/>
      <c r="O77" s="58"/>
      <c r="P77" s="58"/>
      <c r="Q77" s="58">
        <f t="shared" si="5"/>
        <v>5765500</v>
      </c>
    </row>
    <row r="78" spans="1:17" s="40" customFormat="1" ht="32.25">
      <c r="A78" s="15" t="s">
        <v>196</v>
      </c>
      <c r="B78" s="15" t="s">
        <v>63</v>
      </c>
      <c r="C78" s="15" t="s">
        <v>35</v>
      </c>
      <c r="D78" s="11" t="s">
        <v>79</v>
      </c>
      <c r="E78" s="58">
        <f t="shared" ref="E78:E104" si="14">F78+I78</f>
        <v>13500000</v>
      </c>
      <c r="F78" s="58">
        <v>13500000</v>
      </c>
      <c r="G78" s="58"/>
      <c r="H78" s="58"/>
      <c r="I78" s="58"/>
      <c r="J78" s="63"/>
      <c r="K78" s="58"/>
      <c r="L78" s="127"/>
      <c r="M78" s="58"/>
      <c r="N78" s="58"/>
      <c r="O78" s="58"/>
      <c r="P78" s="58"/>
      <c r="Q78" s="58">
        <f t="shared" si="5"/>
        <v>13500000</v>
      </c>
    </row>
    <row r="79" spans="1:17" s="40" customFormat="1" ht="63.75">
      <c r="A79" s="15" t="s">
        <v>198</v>
      </c>
      <c r="B79" s="15" t="s">
        <v>61</v>
      </c>
      <c r="C79" s="15" t="s">
        <v>35</v>
      </c>
      <c r="D79" s="11" t="s">
        <v>197</v>
      </c>
      <c r="E79" s="58">
        <f t="shared" si="14"/>
        <v>23000</v>
      </c>
      <c r="F79" s="58">
        <v>23000</v>
      </c>
      <c r="G79" s="58"/>
      <c r="H79" s="58"/>
      <c r="I79" s="58"/>
      <c r="J79" s="63"/>
      <c r="K79" s="58"/>
      <c r="L79" s="127"/>
      <c r="M79" s="58"/>
      <c r="N79" s="58"/>
      <c r="O79" s="58"/>
      <c r="P79" s="58"/>
      <c r="Q79" s="58">
        <f t="shared" si="5"/>
        <v>23000</v>
      </c>
    </row>
    <row r="80" spans="1:17" s="40" customFormat="1" ht="48">
      <c r="A80" s="15" t="s">
        <v>200</v>
      </c>
      <c r="B80" s="15" t="s">
        <v>199</v>
      </c>
      <c r="C80" s="15" t="s">
        <v>56</v>
      </c>
      <c r="D80" s="11" t="s">
        <v>80</v>
      </c>
      <c r="E80" s="58">
        <f t="shared" si="14"/>
        <v>236000</v>
      </c>
      <c r="F80" s="58">
        <v>236000</v>
      </c>
      <c r="G80" s="58"/>
      <c r="H80" s="58"/>
      <c r="I80" s="58"/>
      <c r="J80" s="63"/>
      <c r="K80" s="58"/>
      <c r="L80" s="127"/>
      <c r="M80" s="58"/>
      <c r="N80" s="58"/>
      <c r="O80" s="58"/>
      <c r="P80" s="58"/>
      <c r="Q80" s="58">
        <f t="shared" si="5"/>
        <v>236000</v>
      </c>
    </row>
    <row r="81" spans="1:17" s="40" customFormat="1" ht="32.25">
      <c r="A81" s="15" t="s">
        <v>202</v>
      </c>
      <c r="B81" s="15" t="s">
        <v>62</v>
      </c>
      <c r="C81" s="15" t="s">
        <v>35</v>
      </c>
      <c r="D81" s="11" t="s">
        <v>201</v>
      </c>
      <c r="E81" s="58">
        <f t="shared" si="14"/>
        <v>368400</v>
      </c>
      <c r="F81" s="58">
        <v>368400</v>
      </c>
      <c r="G81" s="58"/>
      <c r="H81" s="58"/>
      <c r="I81" s="58"/>
      <c r="J81" s="63"/>
      <c r="K81" s="58"/>
      <c r="L81" s="127"/>
      <c r="M81" s="58"/>
      <c r="N81" s="58"/>
      <c r="O81" s="58"/>
      <c r="P81" s="58"/>
      <c r="Q81" s="58">
        <f t="shared" si="5"/>
        <v>368400</v>
      </c>
    </row>
    <row r="82" spans="1:17" s="40" customFormat="1" ht="32.25">
      <c r="A82" s="15" t="s">
        <v>203</v>
      </c>
      <c r="B82" s="15" t="s">
        <v>204</v>
      </c>
      <c r="C82" s="15" t="s">
        <v>64</v>
      </c>
      <c r="D82" s="11" t="s">
        <v>65</v>
      </c>
      <c r="E82" s="58">
        <f t="shared" si="14"/>
        <v>228000</v>
      </c>
      <c r="F82" s="58">
        <v>228000</v>
      </c>
      <c r="G82" s="58"/>
      <c r="H82" s="58"/>
      <c r="I82" s="58"/>
      <c r="J82" s="63"/>
      <c r="K82" s="58"/>
      <c r="L82" s="127"/>
      <c r="M82" s="58"/>
      <c r="N82" s="58"/>
      <c r="O82" s="58"/>
      <c r="P82" s="58"/>
      <c r="Q82" s="58">
        <f t="shared" si="5"/>
        <v>228000</v>
      </c>
    </row>
    <row r="83" spans="1:17" s="13" customFormat="1" ht="32.25">
      <c r="A83" s="15" t="s">
        <v>205</v>
      </c>
      <c r="B83" s="15" t="s">
        <v>66</v>
      </c>
      <c r="C83" s="15" t="s">
        <v>42</v>
      </c>
      <c r="D83" s="14" t="s">
        <v>67</v>
      </c>
      <c r="E83" s="58">
        <f t="shared" si="14"/>
        <v>1302100</v>
      </c>
      <c r="F83" s="58">
        <f>1540100-238000</f>
        <v>1302100</v>
      </c>
      <c r="G83" s="58"/>
      <c r="H83" s="58"/>
      <c r="I83" s="58"/>
      <c r="J83" s="63"/>
      <c r="K83" s="58"/>
      <c r="L83" s="127"/>
      <c r="M83" s="58"/>
      <c r="N83" s="58"/>
      <c r="O83" s="58"/>
      <c r="P83" s="58"/>
      <c r="Q83" s="58">
        <f t="shared" si="5"/>
        <v>1302100</v>
      </c>
    </row>
    <row r="84" spans="1:17" s="13" customFormat="1" ht="18.75">
      <c r="A84" s="15" t="s">
        <v>206</v>
      </c>
      <c r="B84" s="15" t="s">
        <v>68</v>
      </c>
      <c r="C84" s="15" t="s">
        <v>42</v>
      </c>
      <c r="D84" s="26" t="s">
        <v>77</v>
      </c>
      <c r="E84" s="58">
        <f t="shared" si="14"/>
        <v>200000</v>
      </c>
      <c r="F84" s="58">
        <v>200000</v>
      </c>
      <c r="G84" s="58"/>
      <c r="H84" s="58"/>
      <c r="I84" s="58"/>
      <c r="J84" s="63"/>
      <c r="K84" s="58"/>
      <c r="L84" s="127"/>
      <c r="M84" s="58"/>
      <c r="N84" s="58"/>
      <c r="O84" s="58"/>
      <c r="P84" s="58"/>
      <c r="Q84" s="58">
        <f t="shared" si="5"/>
        <v>200000</v>
      </c>
    </row>
    <row r="85" spans="1:17" s="13" customFormat="1" ht="18.75">
      <c r="A85" s="15" t="s">
        <v>207</v>
      </c>
      <c r="B85" s="15" t="s">
        <v>69</v>
      </c>
      <c r="C85" s="15" t="s">
        <v>42</v>
      </c>
      <c r="D85" s="14" t="s">
        <v>70</v>
      </c>
      <c r="E85" s="58">
        <f t="shared" si="14"/>
        <v>48143700</v>
      </c>
      <c r="F85" s="58">
        <f>46510700+4000000-2367000</f>
        <v>48143700</v>
      </c>
      <c r="G85" s="58"/>
      <c r="H85" s="58"/>
      <c r="I85" s="58"/>
      <c r="J85" s="63"/>
      <c r="K85" s="58"/>
      <c r="L85" s="127"/>
      <c r="M85" s="58"/>
      <c r="N85" s="58"/>
      <c r="O85" s="58"/>
      <c r="P85" s="58"/>
      <c r="Q85" s="58">
        <f t="shared" si="5"/>
        <v>48143700</v>
      </c>
    </row>
    <row r="86" spans="1:17" s="13" customFormat="1" ht="32.25">
      <c r="A86" s="15" t="s">
        <v>208</v>
      </c>
      <c r="B86" s="15" t="s">
        <v>71</v>
      </c>
      <c r="C86" s="15" t="s">
        <v>42</v>
      </c>
      <c r="D86" s="14" t="s">
        <v>72</v>
      </c>
      <c r="E86" s="58">
        <f t="shared" si="14"/>
        <v>5000000</v>
      </c>
      <c r="F86" s="58">
        <v>5000000</v>
      </c>
      <c r="G86" s="58"/>
      <c r="H86" s="58"/>
      <c r="I86" s="58"/>
      <c r="J86" s="63"/>
      <c r="K86" s="58"/>
      <c r="L86" s="127"/>
      <c r="M86" s="58"/>
      <c r="N86" s="58"/>
      <c r="O86" s="58"/>
      <c r="P86" s="58"/>
      <c r="Q86" s="58">
        <f t="shared" si="5"/>
        <v>5000000</v>
      </c>
    </row>
    <row r="87" spans="1:17" s="13" customFormat="1" ht="18.75">
      <c r="A87" s="15" t="s">
        <v>209</v>
      </c>
      <c r="B87" s="15" t="s">
        <v>75</v>
      </c>
      <c r="C87" s="15" t="s">
        <v>42</v>
      </c>
      <c r="D87" s="14" t="s">
        <v>74</v>
      </c>
      <c r="E87" s="58">
        <f t="shared" si="14"/>
        <v>8640000</v>
      </c>
      <c r="F87" s="58">
        <f>9000000-360000</f>
        <v>8640000</v>
      </c>
      <c r="G87" s="58"/>
      <c r="H87" s="58"/>
      <c r="I87" s="58"/>
      <c r="J87" s="63"/>
      <c r="K87" s="58"/>
      <c r="L87" s="127"/>
      <c r="M87" s="58"/>
      <c r="N87" s="58"/>
      <c r="O87" s="58"/>
      <c r="P87" s="58"/>
      <c r="Q87" s="58">
        <f t="shared" si="5"/>
        <v>8640000</v>
      </c>
    </row>
    <row r="88" spans="1:17" s="13" customFormat="1" ht="18.75">
      <c r="A88" s="15" t="s">
        <v>210</v>
      </c>
      <c r="B88" s="15" t="s">
        <v>73</v>
      </c>
      <c r="C88" s="15" t="s">
        <v>42</v>
      </c>
      <c r="D88" s="14" t="s">
        <v>102</v>
      </c>
      <c r="E88" s="58">
        <f t="shared" si="14"/>
        <v>653000</v>
      </c>
      <c r="F88" s="58">
        <f>933000-280000</f>
        <v>653000</v>
      </c>
      <c r="G88" s="58"/>
      <c r="H88" s="58"/>
      <c r="I88" s="58"/>
      <c r="J88" s="63"/>
      <c r="K88" s="58"/>
      <c r="L88" s="127"/>
      <c r="M88" s="58"/>
      <c r="N88" s="58"/>
      <c r="O88" s="58"/>
      <c r="P88" s="58"/>
      <c r="Q88" s="58">
        <f t="shared" si="5"/>
        <v>653000</v>
      </c>
    </row>
    <row r="89" spans="1:17" s="13" customFormat="1" ht="35.25" customHeight="1">
      <c r="A89" s="15" t="s">
        <v>211</v>
      </c>
      <c r="B89" s="15" t="s">
        <v>76</v>
      </c>
      <c r="C89" s="15" t="s">
        <v>42</v>
      </c>
      <c r="D89" s="14" t="s">
        <v>78</v>
      </c>
      <c r="E89" s="58">
        <f t="shared" si="14"/>
        <v>6210600</v>
      </c>
      <c r="F89" s="58">
        <v>6210600</v>
      </c>
      <c r="G89" s="58"/>
      <c r="H89" s="58"/>
      <c r="I89" s="58"/>
      <c r="J89" s="63"/>
      <c r="K89" s="58"/>
      <c r="L89" s="127"/>
      <c r="M89" s="58"/>
      <c r="N89" s="58"/>
      <c r="O89" s="58"/>
      <c r="P89" s="58"/>
      <c r="Q89" s="58">
        <f t="shared" si="5"/>
        <v>6210600</v>
      </c>
    </row>
    <row r="90" spans="1:17" s="13" customFormat="1" ht="32.25" hidden="1">
      <c r="A90" s="15" t="s">
        <v>367</v>
      </c>
      <c r="B90" s="15" t="s">
        <v>368</v>
      </c>
      <c r="C90" s="15" t="s">
        <v>42</v>
      </c>
      <c r="D90" s="14" t="s">
        <v>369</v>
      </c>
      <c r="E90" s="58">
        <f t="shared" si="14"/>
        <v>0</v>
      </c>
      <c r="F90" s="58">
        <f>4000000-4000000</f>
        <v>0</v>
      </c>
      <c r="G90" s="58"/>
      <c r="H90" s="58"/>
      <c r="I90" s="58"/>
      <c r="J90" s="63"/>
      <c r="K90" s="58"/>
      <c r="L90" s="127"/>
      <c r="M90" s="58"/>
      <c r="N90" s="58"/>
      <c r="O90" s="58"/>
      <c r="P90" s="58"/>
      <c r="Q90" s="58">
        <f t="shared" si="5"/>
        <v>0</v>
      </c>
    </row>
    <row r="91" spans="1:17" s="13" customFormat="1" ht="30.75">
      <c r="A91" s="15" t="s">
        <v>370</v>
      </c>
      <c r="B91" s="32" t="s">
        <v>371</v>
      </c>
      <c r="C91" s="32" t="s">
        <v>64</v>
      </c>
      <c r="D91" s="35" t="s">
        <v>372</v>
      </c>
      <c r="E91" s="58">
        <f t="shared" si="14"/>
        <v>129280</v>
      </c>
      <c r="F91" s="58">
        <v>129280</v>
      </c>
      <c r="G91" s="58"/>
      <c r="H91" s="58"/>
      <c r="I91" s="58"/>
      <c r="J91" s="63"/>
      <c r="K91" s="58"/>
      <c r="L91" s="127"/>
      <c r="M91" s="58"/>
      <c r="N91" s="58"/>
      <c r="O91" s="58"/>
      <c r="P91" s="58"/>
      <c r="Q91" s="58">
        <f t="shared" si="5"/>
        <v>129280</v>
      </c>
    </row>
    <row r="92" spans="1:17" s="13" customFormat="1" ht="48">
      <c r="A92" s="15" t="s">
        <v>277</v>
      </c>
      <c r="B92" s="15" t="s">
        <v>279</v>
      </c>
      <c r="C92" s="15" t="s">
        <v>30</v>
      </c>
      <c r="D92" s="11" t="s">
        <v>281</v>
      </c>
      <c r="E92" s="58">
        <f t="shared" si="14"/>
        <v>11854000</v>
      </c>
      <c r="F92" s="58">
        <v>11854000</v>
      </c>
      <c r="G92" s="58"/>
      <c r="H92" s="58"/>
      <c r="I92" s="58"/>
      <c r="J92" s="63"/>
      <c r="K92" s="58"/>
      <c r="L92" s="127"/>
      <c r="M92" s="58"/>
      <c r="N92" s="58"/>
      <c r="O92" s="58"/>
      <c r="P92" s="58"/>
      <c r="Q92" s="58">
        <f t="shared" si="5"/>
        <v>11854000</v>
      </c>
    </row>
    <row r="93" spans="1:17" s="13" customFormat="1" ht="63.75">
      <c r="A93" s="15" t="s">
        <v>373</v>
      </c>
      <c r="B93" s="15" t="s">
        <v>303</v>
      </c>
      <c r="C93" s="15" t="s">
        <v>30</v>
      </c>
      <c r="D93" s="11" t="s">
        <v>304</v>
      </c>
      <c r="E93" s="58">
        <f t="shared" si="14"/>
        <v>4231000</v>
      </c>
      <c r="F93" s="58">
        <v>4231000</v>
      </c>
      <c r="G93" s="58"/>
      <c r="H93" s="58"/>
      <c r="I93" s="58"/>
      <c r="J93" s="63"/>
      <c r="K93" s="58"/>
      <c r="L93" s="127"/>
      <c r="M93" s="58"/>
      <c r="N93" s="58"/>
      <c r="O93" s="58"/>
      <c r="P93" s="58"/>
      <c r="Q93" s="58">
        <f t="shared" si="5"/>
        <v>4231000</v>
      </c>
    </row>
    <row r="94" spans="1:17" s="13" customFormat="1" ht="48">
      <c r="A94" s="15" t="s">
        <v>278</v>
      </c>
      <c r="B94" s="15" t="s">
        <v>280</v>
      </c>
      <c r="C94" s="15" t="s">
        <v>30</v>
      </c>
      <c r="D94" s="11" t="s">
        <v>282</v>
      </c>
      <c r="E94" s="58">
        <f t="shared" si="14"/>
        <v>1748000</v>
      </c>
      <c r="F94" s="58">
        <v>1748000</v>
      </c>
      <c r="G94" s="63"/>
      <c r="H94" s="63"/>
      <c r="I94" s="63"/>
      <c r="J94" s="63"/>
      <c r="K94" s="63"/>
      <c r="L94" s="126"/>
      <c r="M94" s="63"/>
      <c r="N94" s="63"/>
      <c r="O94" s="63"/>
      <c r="P94" s="63"/>
      <c r="Q94" s="58">
        <f t="shared" si="5"/>
        <v>1748000</v>
      </c>
    </row>
    <row r="95" spans="1:17" s="20" customFormat="1" ht="63.75">
      <c r="A95" s="15" t="s">
        <v>374</v>
      </c>
      <c r="B95" s="15" t="s">
        <v>375</v>
      </c>
      <c r="C95" s="15" t="s">
        <v>42</v>
      </c>
      <c r="D95" s="11" t="s">
        <v>376</v>
      </c>
      <c r="E95" s="58">
        <f t="shared" si="14"/>
        <v>740600</v>
      </c>
      <c r="F95" s="59">
        <f>990600-250000</f>
        <v>740600</v>
      </c>
      <c r="G95" s="59"/>
      <c r="H95" s="59"/>
      <c r="I95" s="59"/>
      <c r="J95" s="59"/>
      <c r="K95" s="59"/>
      <c r="L95" s="129"/>
      <c r="M95" s="59"/>
      <c r="N95" s="59"/>
      <c r="O95" s="59"/>
      <c r="P95" s="59"/>
      <c r="Q95" s="58">
        <f t="shared" si="5"/>
        <v>740600</v>
      </c>
    </row>
    <row r="96" spans="1:17" s="20" customFormat="1" ht="32.25">
      <c r="A96" s="15" t="s">
        <v>408</v>
      </c>
      <c r="B96" s="15" t="s">
        <v>409</v>
      </c>
      <c r="C96" s="15" t="s">
        <v>42</v>
      </c>
      <c r="D96" s="11" t="s">
        <v>410</v>
      </c>
      <c r="E96" s="58">
        <f t="shared" si="14"/>
        <v>200000</v>
      </c>
      <c r="F96" s="59">
        <v>200000</v>
      </c>
      <c r="G96" s="59"/>
      <c r="H96" s="59"/>
      <c r="I96" s="59"/>
      <c r="J96" s="59"/>
      <c r="K96" s="59"/>
      <c r="L96" s="129"/>
      <c r="M96" s="59"/>
      <c r="N96" s="59"/>
      <c r="O96" s="59"/>
      <c r="P96" s="59"/>
      <c r="Q96" s="58">
        <f t="shared" si="5"/>
        <v>200000</v>
      </c>
    </row>
    <row r="97" spans="1:17" s="20" customFormat="1" ht="38.25" customHeight="1">
      <c r="A97" s="15" t="s">
        <v>377</v>
      </c>
      <c r="B97" s="15" t="s">
        <v>378</v>
      </c>
      <c r="C97" s="15" t="s">
        <v>35</v>
      </c>
      <c r="D97" s="11" t="s">
        <v>379</v>
      </c>
      <c r="E97" s="58">
        <f t="shared" si="14"/>
        <v>57500</v>
      </c>
      <c r="F97" s="59">
        <v>57500</v>
      </c>
      <c r="G97" s="59"/>
      <c r="H97" s="59"/>
      <c r="I97" s="59"/>
      <c r="J97" s="59"/>
      <c r="K97" s="59"/>
      <c r="L97" s="129"/>
      <c r="M97" s="59"/>
      <c r="N97" s="59"/>
      <c r="O97" s="59"/>
      <c r="P97" s="59"/>
      <c r="Q97" s="58">
        <f t="shared" si="5"/>
        <v>57500</v>
      </c>
    </row>
    <row r="98" spans="1:17" s="13" customFormat="1" ht="63.75">
      <c r="A98" s="15" t="s">
        <v>225</v>
      </c>
      <c r="B98" s="15" t="s">
        <v>224</v>
      </c>
      <c r="C98" s="15" t="s">
        <v>32</v>
      </c>
      <c r="D98" s="11" t="s">
        <v>283</v>
      </c>
      <c r="E98" s="58">
        <f t="shared" si="14"/>
        <v>6117900</v>
      </c>
      <c r="F98" s="58">
        <f>6190300-72400</f>
        <v>6117900</v>
      </c>
      <c r="G98" s="58">
        <f>5939600-72400</f>
        <v>5867200</v>
      </c>
      <c r="H98" s="58">
        <v>63500</v>
      </c>
      <c r="I98" s="58"/>
      <c r="J98" s="58">
        <f>M98+P98</f>
        <v>22000</v>
      </c>
      <c r="K98" s="58"/>
      <c r="L98" s="127"/>
      <c r="M98" s="58">
        <v>8000</v>
      </c>
      <c r="N98" s="58"/>
      <c r="O98" s="58"/>
      <c r="P98" s="58">
        <v>14000</v>
      </c>
      <c r="Q98" s="58">
        <f t="shared" si="5"/>
        <v>6139900</v>
      </c>
    </row>
    <row r="99" spans="1:17" s="40" customFormat="1" ht="38.25" customHeight="1">
      <c r="A99" s="15" t="s">
        <v>134</v>
      </c>
      <c r="B99" s="15" t="s">
        <v>133</v>
      </c>
      <c r="C99" s="15" t="s">
        <v>42</v>
      </c>
      <c r="D99" s="11" t="s">
        <v>135</v>
      </c>
      <c r="E99" s="58">
        <f t="shared" si="14"/>
        <v>3493400</v>
      </c>
      <c r="F99" s="59">
        <v>3493400</v>
      </c>
      <c r="G99" s="59">
        <f>2901200-1178400-54000</f>
        <v>1668800</v>
      </c>
      <c r="H99" s="59">
        <v>120000</v>
      </c>
      <c r="I99" s="59"/>
      <c r="J99" s="58">
        <f>M99+P99</f>
        <v>12000</v>
      </c>
      <c r="K99" s="58">
        <v>12000</v>
      </c>
      <c r="L99" s="127">
        <v>12000</v>
      </c>
      <c r="M99" s="58"/>
      <c r="N99" s="58"/>
      <c r="O99" s="58"/>
      <c r="P99" s="58">
        <v>12000</v>
      </c>
      <c r="Q99" s="58">
        <f t="shared" si="5"/>
        <v>3505400</v>
      </c>
    </row>
    <row r="100" spans="1:17" s="13" customFormat="1" ht="95.25">
      <c r="A100" s="15" t="s">
        <v>284</v>
      </c>
      <c r="B100" s="15" t="s">
        <v>285</v>
      </c>
      <c r="C100" s="15" t="s">
        <v>30</v>
      </c>
      <c r="D100" s="11" t="s">
        <v>286</v>
      </c>
      <c r="E100" s="58">
        <f t="shared" si="14"/>
        <v>542200</v>
      </c>
      <c r="F100" s="59">
        <v>542200</v>
      </c>
      <c r="G100" s="59"/>
      <c r="H100" s="59"/>
      <c r="I100" s="59"/>
      <c r="J100" s="58"/>
      <c r="K100" s="58"/>
      <c r="L100" s="127"/>
      <c r="M100" s="58"/>
      <c r="N100" s="58"/>
      <c r="O100" s="58"/>
      <c r="P100" s="58"/>
      <c r="Q100" s="58">
        <f t="shared" si="5"/>
        <v>542200</v>
      </c>
    </row>
    <row r="101" spans="1:17" s="13" customFormat="1" ht="63.75">
      <c r="A101" s="15" t="s">
        <v>380</v>
      </c>
      <c r="B101" s="15" t="s">
        <v>381</v>
      </c>
      <c r="C101" s="32" t="s">
        <v>30</v>
      </c>
      <c r="D101" s="11" t="s">
        <v>382</v>
      </c>
      <c r="E101" s="58">
        <f t="shared" si="14"/>
        <v>29040</v>
      </c>
      <c r="F101" s="59">
        <v>29040</v>
      </c>
      <c r="G101" s="59"/>
      <c r="H101" s="59"/>
      <c r="I101" s="59"/>
      <c r="J101" s="58"/>
      <c r="K101" s="58"/>
      <c r="L101" s="127"/>
      <c r="M101" s="58"/>
      <c r="N101" s="58"/>
      <c r="O101" s="58"/>
      <c r="P101" s="58"/>
      <c r="Q101" s="58">
        <f t="shared" ref="Q101:Q103" si="15">E101+J101</f>
        <v>29040</v>
      </c>
    </row>
    <row r="102" spans="1:17" s="13" customFormat="1" ht="79.5">
      <c r="A102" s="15" t="s">
        <v>287</v>
      </c>
      <c r="B102" s="15" t="s">
        <v>288</v>
      </c>
      <c r="C102" s="15" t="s">
        <v>56</v>
      </c>
      <c r="D102" s="11" t="s">
        <v>289</v>
      </c>
      <c r="E102" s="58">
        <f t="shared" si="14"/>
        <v>935000</v>
      </c>
      <c r="F102" s="58">
        <v>935000</v>
      </c>
      <c r="G102" s="58"/>
      <c r="H102" s="58"/>
      <c r="I102" s="58"/>
      <c r="J102" s="58"/>
      <c r="K102" s="58"/>
      <c r="L102" s="127"/>
      <c r="M102" s="58"/>
      <c r="N102" s="58"/>
      <c r="O102" s="58"/>
      <c r="P102" s="58"/>
      <c r="Q102" s="58">
        <f t="shared" si="15"/>
        <v>935000</v>
      </c>
    </row>
    <row r="103" spans="1:17" s="13" customFormat="1" ht="48">
      <c r="A103" s="15" t="s">
        <v>290</v>
      </c>
      <c r="B103" s="15" t="s">
        <v>291</v>
      </c>
      <c r="C103" s="15" t="s">
        <v>35</v>
      </c>
      <c r="D103" s="11" t="s">
        <v>292</v>
      </c>
      <c r="E103" s="58">
        <f t="shared" si="14"/>
        <v>50000</v>
      </c>
      <c r="F103" s="58">
        <f>50000</f>
        <v>50000</v>
      </c>
      <c r="G103" s="58"/>
      <c r="H103" s="58"/>
      <c r="I103" s="58"/>
      <c r="J103" s="58"/>
      <c r="K103" s="58"/>
      <c r="L103" s="127"/>
      <c r="M103" s="58"/>
      <c r="N103" s="58"/>
      <c r="O103" s="58"/>
      <c r="P103" s="58"/>
      <c r="Q103" s="58">
        <f t="shared" si="15"/>
        <v>50000</v>
      </c>
    </row>
    <row r="104" spans="1:17" s="13" customFormat="1" ht="32.25">
      <c r="A104" s="15" t="s">
        <v>297</v>
      </c>
      <c r="B104" s="15" t="s">
        <v>293</v>
      </c>
      <c r="C104" s="15" t="s">
        <v>22</v>
      </c>
      <c r="D104" s="11" t="s">
        <v>294</v>
      </c>
      <c r="E104" s="58">
        <f t="shared" si="14"/>
        <v>25978700</v>
      </c>
      <c r="F104" s="58">
        <f>23978700+2000000</f>
        <v>25978700</v>
      </c>
      <c r="G104" s="58"/>
      <c r="H104" s="58"/>
      <c r="I104" s="58"/>
      <c r="J104" s="58"/>
      <c r="K104" s="58"/>
      <c r="L104" s="127"/>
      <c r="M104" s="58"/>
      <c r="N104" s="58"/>
      <c r="O104" s="58"/>
      <c r="P104" s="58"/>
      <c r="Q104" s="58">
        <f>E104+J104</f>
        <v>25978700</v>
      </c>
    </row>
    <row r="105" spans="1:17" s="38" customFormat="1" ht="32.25">
      <c r="A105" s="17" t="s">
        <v>139</v>
      </c>
      <c r="B105" s="17"/>
      <c r="C105" s="17"/>
      <c r="D105" s="18" t="s">
        <v>10</v>
      </c>
      <c r="E105" s="63">
        <f>E106</f>
        <v>30261577</v>
      </c>
      <c r="F105" s="63">
        <f>F106</f>
        <v>30261577</v>
      </c>
      <c r="G105" s="63">
        <f t="shared" ref="G105:Q105" si="16">G106</f>
        <v>25399600</v>
      </c>
      <c r="H105" s="63">
        <f t="shared" si="16"/>
        <v>1924300</v>
      </c>
      <c r="I105" s="63">
        <f t="shared" si="16"/>
        <v>0</v>
      </c>
      <c r="J105" s="63">
        <f>J106</f>
        <v>6003200</v>
      </c>
      <c r="K105" s="63">
        <f t="shared" si="16"/>
        <v>4861100</v>
      </c>
      <c r="L105" s="126">
        <f t="shared" si="16"/>
        <v>4861100</v>
      </c>
      <c r="M105" s="63">
        <f t="shared" si="16"/>
        <v>1092100</v>
      </c>
      <c r="N105" s="63">
        <f t="shared" si="16"/>
        <v>258500</v>
      </c>
      <c r="O105" s="63">
        <f t="shared" si="16"/>
        <v>0</v>
      </c>
      <c r="P105" s="63">
        <f t="shared" si="16"/>
        <v>4911100</v>
      </c>
      <c r="Q105" s="63">
        <f t="shared" si="16"/>
        <v>36264777</v>
      </c>
    </row>
    <row r="106" spans="1:17" s="13" customFormat="1" ht="32.25">
      <c r="A106" s="17" t="s">
        <v>140</v>
      </c>
      <c r="B106" s="15"/>
      <c r="C106" s="15"/>
      <c r="D106" s="18" t="s">
        <v>10</v>
      </c>
      <c r="E106" s="63">
        <f>E107+E109+E110+E111+E108+E112+E113</f>
        <v>30261577</v>
      </c>
      <c r="F106" s="63">
        <f>F107+F109+F110+F111+F108+F112+F113</f>
        <v>30261577</v>
      </c>
      <c r="G106" s="63">
        <f>G107+G109+G110+G111+G108+G112+G113</f>
        <v>25399600</v>
      </c>
      <c r="H106" s="63">
        <f>H107+H109+H110+H111+H108+H112+H113</f>
        <v>1924300</v>
      </c>
      <c r="I106" s="63">
        <f>I107+I109+I110+I111+I108+I112+I113</f>
        <v>0</v>
      </c>
      <c r="J106" s="63">
        <f>M106+P106</f>
        <v>6003200</v>
      </c>
      <c r="K106" s="63">
        <f t="shared" ref="K106:P106" si="17">K107+K109+K110+K111+K108+K112+K113+K114</f>
        <v>4861100</v>
      </c>
      <c r="L106" s="126">
        <f t="shared" si="17"/>
        <v>4861100</v>
      </c>
      <c r="M106" s="63">
        <f t="shared" si="17"/>
        <v>1092100</v>
      </c>
      <c r="N106" s="63">
        <f t="shared" si="17"/>
        <v>258500</v>
      </c>
      <c r="O106" s="63">
        <f t="shared" si="17"/>
        <v>0</v>
      </c>
      <c r="P106" s="63">
        <f t="shared" si="17"/>
        <v>4911100</v>
      </c>
      <c r="Q106" s="63">
        <f t="shared" ref="Q106:Q126" si="18">E106+J106</f>
        <v>36264777</v>
      </c>
    </row>
    <row r="107" spans="1:17" s="13" customFormat="1" ht="48">
      <c r="A107" s="15" t="s">
        <v>141</v>
      </c>
      <c r="B107" s="15" t="s">
        <v>110</v>
      </c>
      <c r="C107" s="15" t="s">
        <v>21</v>
      </c>
      <c r="D107" s="14" t="s">
        <v>112</v>
      </c>
      <c r="E107" s="58">
        <f>F107+I107</f>
        <v>530700</v>
      </c>
      <c r="F107" s="58">
        <f>490700+32800+7200</f>
        <v>530700</v>
      </c>
      <c r="G107" s="58">
        <f>480100+32800+7200</f>
        <v>520100</v>
      </c>
      <c r="H107" s="58"/>
      <c r="I107" s="58"/>
      <c r="J107" s="63"/>
      <c r="K107" s="58"/>
      <c r="L107" s="127"/>
      <c r="M107" s="58"/>
      <c r="N107" s="58"/>
      <c r="O107" s="58"/>
      <c r="P107" s="58"/>
      <c r="Q107" s="58">
        <f t="shared" si="18"/>
        <v>530700</v>
      </c>
    </row>
    <row r="108" spans="1:17" s="13" customFormat="1" ht="63.75">
      <c r="A108" s="15" t="s">
        <v>151</v>
      </c>
      <c r="B108" s="15" t="s">
        <v>150</v>
      </c>
      <c r="C108" s="15" t="s">
        <v>38</v>
      </c>
      <c r="D108" s="14" t="s">
        <v>152</v>
      </c>
      <c r="E108" s="58">
        <f t="shared" ref="E108:E113" si="19">F108+I108</f>
        <v>13961500</v>
      </c>
      <c r="F108" s="58">
        <f>13936500+25000-25000+25000</f>
        <v>13961500</v>
      </c>
      <c r="G108" s="58">
        <v>13388800</v>
      </c>
      <c r="H108" s="58">
        <v>341000</v>
      </c>
      <c r="I108" s="58"/>
      <c r="J108" s="58">
        <f>M108+P108</f>
        <v>889500</v>
      </c>
      <c r="K108" s="59"/>
      <c r="L108" s="129"/>
      <c r="M108" s="59">
        <v>839500</v>
      </c>
      <c r="N108" s="59">
        <f>186900+41100</f>
        <v>228000</v>
      </c>
      <c r="O108" s="59"/>
      <c r="P108" s="59">
        <v>50000</v>
      </c>
      <c r="Q108" s="58">
        <f t="shared" si="18"/>
        <v>14851000</v>
      </c>
    </row>
    <row r="109" spans="1:17" s="13" customFormat="1" ht="18.75">
      <c r="A109" s="15" t="s">
        <v>143</v>
      </c>
      <c r="B109" s="15" t="s">
        <v>142</v>
      </c>
      <c r="C109" s="15" t="s">
        <v>83</v>
      </c>
      <c r="D109" s="11" t="s">
        <v>144</v>
      </c>
      <c r="E109" s="58">
        <f t="shared" si="19"/>
        <v>5227658</v>
      </c>
      <c r="F109" s="59">
        <f>5109800+25000-75000+167858</f>
        <v>5227658</v>
      </c>
      <c r="G109" s="59">
        <v>4075800</v>
      </c>
      <c r="H109" s="59">
        <v>588500</v>
      </c>
      <c r="I109" s="59"/>
      <c r="J109" s="58">
        <f t="shared" ref="J109:J115" si="20">M109+P109</f>
        <v>1795200</v>
      </c>
      <c r="K109" s="59">
        <v>1738200</v>
      </c>
      <c r="L109" s="129">
        <v>1738200</v>
      </c>
      <c r="M109" s="59">
        <v>57000</v>
      </c>
      <c r="N109" s="59"/>
      <c r="O109" s="59"/>
      <c r="P109" s="59">
        <v>1738200</v>
      </c>
      <c r="Q109" s="59">
        <f t="shared" si="18"/>
        <v>7022858</v>
      </c>
    </row>
    <row r="110" spans="1:17" s="13" customFormat="1" ht="18.75">
      <c r="A110" s="15" t="s">
        <v>146</v>
      </c>
      <c r="B110" s="15" t="s">
        <v>145</v>
      </c>
      <c r="C110" s="15" t="s">
        <v>83</v>
      </c>
      <c r="D110" s="11" t="s">
        <v>147</v>
      </c>
      <c r="E110" s="58">
        <f t="shared" si="19"/>
        <v>1795719</v>
      </c>
      <c r="F110" s="59">
        <f>1714100+25000-54500+111119</f>
        <v>1795719</v>
      </c>
      <c r="G110" s="59">
        <v>1296900</v>
      </c>
      <c r="H110" s="59">
        <v>240100</v>
      </c>
      <c r="I110" s="59"/>
      <c r="J110" s="58">
        <f t="shared" si="20"/>
        <v>126000</v>
      </c>
      <c r="K110" s="59">
        <v>94500</v>
      </c>
      <c r="L110" s="129">
        <v>94500</v>
      </c>
      <c r="M110" s="59">
        <v>31500</v>
      </c>
      <c r="N110" s="59"/>
      <c r="O110" s="59"/>
      <c r="P110" s="59">
        <v>94500</v>
      </c>
      <c r="Q110" s="59">
        <f t="shared" si="18"/>
        <v>1921719</v>
      </c>
    </row>
    <row r="111" spans="1:17" s="13" customFormat="1" ht="48">
      <c r="A111" s="15" t="s">
        <v>148</v>
      </c>
      <c r="B111" s="15" t="s">
        <v>82</v>
      </c>
      <c r="C111" s="15" t="s">
        <v>84</v>
      </c>
      <c r="D111" s="11" t="s">
        <v>149</v>
      </c>
      <c r="E111" s="58">
        <f>F111+I111</f>
        <v>6524200</v>
      </c>
      <c r="F111" s="59">
        <f>6499200+25000-145000+145000</f>
        <v>6524200</v>
      </c>
      <c r="G111" s="59">
        <v>5102000</v>
      </c>
      <c r="H111" s="59">
        <v>722900</v>
      </c>
      <c r="I111" s="59"/>
      <c r="J111" s="58">
        <f t="shared" si="20"/>
        <v>618800</v>
      </c>
      <c r="K111" s="59">
        <v>454700</v>
      </c>
      <c r="L111" s="129">
        <v>454700</v>
      </c>
      <c r="M111" s="59">
        <v>164100</v>
      </c>
      <c r="N111" s="59">
        <f>25000+5500</f>
        <v>30500</v>
      </c>
      <c r="O111" s="59"/>
      <c r="P111" s="59">
        <v>454700</v>
      </c>
      <c r="Q111" s="59">
        <f t="shared" si="18"/>
        <v>7143000</v>
      </c>
    </row>
    <row r="112" spans="1:17" s="13" customFormat="1" ht="32.25">
      <c r="A112" s="15" t="s">
        <v>298</v>
      </c>
      <c r="B112" s="15" t="s">
        <v>263</v>
      </c>
      <c r="C112" s="15" t="s">
        <v>85</v>
      </c>
      <c r="D112" s="11" t="s">
        <v>264</v>
      </c>
      <c r="E112" s="58">
        <f t="shared" si="19"/>
        <v>1115800</v>
      </c>
      <c r="F112" s="59">
        <v>1115800</v>
      </c>
      <c r="G112" s="59">
        <v>1016000</v>
      </c>
      <c r="H112" s="59">
        <v>31800</v>
      </c>
      <c r="I112" s="59"/>
      <c r="J112" s="58">
        <f t="shared" si="20"/>
        <v>0</v>
      </c>
      <c r="K112" s="59"/>
      <c r="L112" s="129"/>
      <c r="M112" s="59"/>
      <c r="N112" s="59"/>
      <c r="O112" s="59"/>
      <c r="P112" s="59"/>
      <c r="Q112" s="59">
        <f t="shared" si="18"/>
        <v>1115800</v>
      </c>
    </row>
    <row r="113" spans="1:17" s="13" customFormat="1" ht="18.75">
      <c r="A113" s="15" t="s">
        <v>261</v>
      </c>
      <c r="B113" s="15" t="s">
        <v>262</v>
      </c>
      <c r="C113" s="15" t="s">
        <v>85</v>
      </c>
      <c r="D113" s="11" t="s">
        <v>265</v>
      </c>
      <c r="E113" s="58">
        <f t="shared" si="19"/>
        <v>1106000</v>
      </c>
      <c r="F113" s="59">
        <v>1106000</v>
      </c>
      <c r="G113" s="59"/>
      <c r="H113" s="59"/>
      <c r="I113" s="59"/>
      <c r="J113" s="58">
        <f t="shared" si="20"/>
        <v>0</v>
      </c>
      <c r="K113" s="59"/>
      <c r="L113" s="129"/>
      <c r="M113" s="59"/>
      <c r="N113" s="59"/>
      <c r="O113" s="59"/>
      <c r="P113" s="59"/>
      <c r="Q113" s="59">
        <f t="shared" si="18"/>
        <v>1106000</v>
      </c>
    </row>
    <row r="114" spans="1:17" s="13" customFormat="1" ht="32.25">
      <c r="A114" s="15" t="s">
        <v>383</v>
      </c>
      <c r="B114" s="15" t="s">
        <v>266</v>
      </c>
      <c r="C114" s="15" t="s">
        <v>46</v>
      </c>
      <c r="D114" s="14" t="s">
        <v>233</v>
      </c>
      <c r="E114" s="58"/>
      <c r="F114" s="59"/>
      <c r="G114" s="59"/>
      <c r="H114" s="59"/>
      <c r="I114" s="59"/>
      <c r="J114" s="58">
        <f t="shared" si="20"/>
        <v>2573700</v>
      </c>
      <c r="K114" s="59">
        <f>10000000-2136300-5290000</f>
        <v>2573700</v>
      </c>
      <c r="L114" s="129">
        <f>10000000-2136300-5290000</f>
        <v>2573700</v>
      </c>
      <c r="M114" s="59"/>
      <c r="N114" s="59"/>
      <c r="O114" s="59"/>
      <c r="P114" s="59">
        <f>10000000-2136300-5290000</f>
        <v>2573700</v>
      </c>
      <c r="Q114" s="59">
        <f t="shared" si="18"/>
        <v>2573700</v>
      </c>
    </row>
    <row r="115" spans="1:17" s="41" customFormat="1" ht="18.75">
      <c r="A115" s="23"/>
      <c r="B115" s="23"/>
      <c r="C115" s="23"/>
      <c r="D115" s="36" t="s">
        <v>384</v>
      </c>
      <c r="E115" s="66"/>
      <c r="F115" s="104"/>
      <c r="G115" s="104"/>
      <c r="H115" s="104"/>
      <c r="I115" s="104"/>
      <c r="J115" s="66">
        <f t="shared" si="20"/>
        <v>1073700</v>
      </c>
      <c r="K115" s="104">
        <v>1073700</v>
      </c>
      <c r="L115" s="130">
        <v>1073700</v>
      </c>
      <c r="M115" s="104"/>
      <c r="N115" s="104"/>
      <c r="O115" s="104"/>
      <c r="P115" s="104">
        <v>1073700</v>
      </c>
      <c r="Q115" s="104">
        <f t="shared" si="18"/>
        <v>1073700</v>
      </c>
    </row>
    <row r="116" spans="1:17" s="13" customFormat="1" ht="53.25" customHeight="1">
      <c r="A116" s="17" t="s">
        <v>47</v>
      </c>
      <c r="B116" s="17"/>
      <c r="C116" s="17"/>
      <c r="D116" s="18" t="s">
        <v>13</v>
      </c>
      <c r="E116" s="68">
        <f t="shared" ref="E116:P116" si="21">E117</f>
        <v>4181100</v>
      </c>
      <c r="F116" s="68">
        <f t="shared" si="21"/>
        <v>4181100</v>
      </c>
      <c r="G116" s="68">
        <f t="shared" si="21"/>
        <v>1186300</v>
      </c>
      <c r="H116" s="68">
        <f t="shared" si="21"/>
        <v>0</v>
      </c>
      <c r="I116" s="68">
        <f t="shared" si="21"/>
        <v>0</v>
      </c>
      <c r="J116" s="68">
        <f t="shared" si="21"/>
        <v>10000</v>
      </c>
      <c r="K116" s="68">
        <f t="shared" si="21"/>
        <v>10000</v>
      </c>
      <c r="L116" s="131">
        <f t="shared" si="21"/>
        <v>10000</v>
      </c>
      <c r="M116" s="68">
        <f t="shared" si="21"/>
        <v>0</v>
      </c>
      <c r="N116" s="68">
        <f t="shared" si="21"/>
        <v>0</v>
      </c>
      <c r="O116" s="68">
        <f t="shared" si="21"/>
        <v>0</v>
      </c>
      <c r="P116" s="68">
        <f t="shared" si="21"/>
        <v>10000</v>
      </c>
      <c r="Q116" s="63">
        <f t="shared" si="18"/>
        <v>4191100</v>
      </c>
    </row>
    <row r="117" spans="1:17" s="13" customFormat="1" ht="54" customHeight="1">
      <c r="A117" s="17" t="s">
        <v>48</v>
      </c>
      <c r="B117" s="17"/>
      <c r="C117" s="17"/>
      <c r="D117" s="18" t="s">
        <v>13</v>
      </c>
      <c r="E117" s="63">
        <f>E118+E120+E121+E122+E123+E124+E125+E119</f>
        <v>4181100</v>
      </c>
      <c r="F117" s="63">
        <f>F118+F120+F121+F122+F123+F124+F125+F119</f>
        <v>4181100</v>
      </c>
      <c r="G117" s="63">
        <f t="shared" ref="G117:P117" si="22">G118+G120+G121+G123+G124+G125+G119</f>
        <v>1186300</v>
      </c>
      <c r="H117" s="63">
        <f t="shared" si="22"/>
        <v>0</v>
      </c>
      <c r="I117" s="63">
        <f t="shared" si="22"/>
        <v>0</v>
      </c>
      <c r="J117" s="63">
        <f>M117+P117</f>
        <v>10000</v>
      </c>
      <c r="K117" s="63">
        <f>K118+K120+K121+K123+K124+K125+K119</f>
        <v>10000</v>
      </c>
      <c r="L117" s="126">
        <f>L118+L120+L121+L123+L124+L125+L119</f>
        <v>10000</v>
      </c>
      <c r="M117" s="63">
        <f t="shared" si="22"/>
        <v>0</v>
      </c>
      <c r="N117" s="63">
        <f t="shared" si="22"/>
        <v>0</v>
      </c>
      <c r="O117" s="63">
        <f t="shared" si="22"/>
        <v>0</v>
      </c>
      <c r="P117" s="63">
        <f t="shared" si="22"/>
        <v>10000</v>
      </c>
      <c r="Q117" s="63">
        <f t="shared" si="18"/>
        <v>4191100</v>
      </c>
    </row>
    <row r="118" spans="1:17" s="13" customFormat="1" ht="48">
      <c r="A118" s="15" t="s">
        <v>153</v>
      </c>
      <c r="B118" s="15" t="s">
        <v>110</v>
      </c>
      <c r="C118" s="15" t="s">
        <v>21</v>
      </c>
      <c r="D118" s="14" t="s">
        <v>112</v>
      </c>
      <c r="E118" s="58">
        <f>F118+I118</f>
        <v>1400300</v>
      </c>
      <c r="F118" s="58">
        <f>1379000+74600+16700-248700+178700</f>
        <v>1400300</v>
      </c>
      <c r="G118" s="58">
        <f>1095000+74600+16700</f>
        <v>1186300</v>
      </c>
      <c r="H118" s="58"/>
      <c r="I118" s="58"/>
      <c r="J118" s="59">
        <f>M118+P118</f>
        <v>10000</v>
      </c>
      <c r="K118" s="58">
        <v>10000</v>
      </c>
      <c r="L118" s="127">
        <v>10000</v>
      </c>
      <c r="M118" s="63"/>
      <c r="N118" s="63"/>
      <c r="O118" s="63"/>
      <c r="P118" s="58">
        <v>10000</v>
      </c>
      <c r="Q118" s="58">
        <f t="shared" si="18"/>
        <v>1410300</v>
      </c>
    </row>
    <row r="119" spans="1:17" s="13" customFormat="1" ht="18.75">
      <c r="A119" s="15" t="s">
        <v>155</v>
      </c>
      <c r="B119" s="15" t="s">
        <v>154</v>
      </c>
      <c r="C119" s="15" t="s">
        <v>42</v>
      </c>
      <c r="D119" s="11" t="s">
        <v>51</v>
      </c>
      <c r="E119" s="58">
        <f t="shared" ref="E119:E125" si="23">F119+I119</f>
        <v>270900</v>
      </c>
      <c r="F119" s="58">
        <v>270900</v>
      </c>
      <c r="G119" s="58"/>
      <c r="H119" s="58"/>
      <c r="I119" s="58"/>
      <c r="J119" s="59"/>
      <c r="K119" s="58"/>
      <c r="L119" s="127"/>
      <c r="M119" s="63"/>
      <c r="N119" s="63"/>
      <c r="O119" s="63"/>
      <c r="P119" s="58"/>
      <c r="Q119" s="58">
        <f t="shared" si="18"/>
        <v>270900</v>
      </c>
    </row>
    <row r="120" spans="1:17" s="13" customFormat="1" ht="18.75">
      <c r="A120" s="15" t="s">
        <v>157</v>
      </c>
      <c r="B120" s="15" t="s">
        <v>156</v>
      </c>
      <c r="C120" s="15" t="s">
        <v>42</v>
      </c>
      <c r="D120" s="11" t="s">
        <v>97</v>
      </c>
      <c r="E120" s="58">
        <f t="shared" si="23"/>
        <v>554400</v>
      </c>
      <c r="F120" s="58">
        <v>554400</v>
      </c>
      <c r="G120" s="58"/>
      <c r="H120" s="58"/>
      <c r="I120" s="58"/>
      <c r="J120" s="58"/>
      <c r="K120" s="58"/>
      <c r="L120" s="127"/>
      <c r="M120" s="58"/>
      <c r="N120" s="58"/>
      <c r="O120" s="58"/>
      <c r="P120" s="58"/>
      <c r="Q120" s="58">
        <f t="shared" si="18"/>
        <v>554400</v>
      </c>
    </row>
    <row r="121" spans="1:17" s="13" customFormat="1" ht="79.5">
      <c r="A121" s="15" t="s">
        <v>50</v>
      </c>
      <c r="B121" s="15" t="s">
        <v>49</v>
      </c>
      <c r="C121" s="15" t="s">
        <v>42</v>
      </c>
      <c r="D121" s="11" t="s">
        <v>43</v>
      </c>
      <c r="E121" s="58">
        <f t="shared" si="23"/>
        <v>199200</v>
      </c>
      <c r="F121" s="58">
        <f>307400-108200</f>
        <v>199200</v>
      </c>
      <c r="G121" s="58"/>
      <c r="H121" s="58"/>
      <c r="I121" s="58"/>
      <c r="J121" s="58"/>
      <c r="K121" s="58"/>
      <c r="L121" s="127"/>
      <c r="M121" s="58"/>
      <c r="N121" s="58"/>
      <c r="O121" s="58"/>
      <c r="P121" s="58"/>
      <c r="Q121" s="58">
        <f t="shared" si="18"/>
        <v>199200</v>
      </c>
    </row>
    <row r="122" spans="1:17" s="13" customFormat="1" ht="32.25">
      <c r="A122" s="15" t="s">
        <v>385</v>
      </c>
      <c r="B122" s="15" t="s">
        <v>293</v>
      </c>
      <c r="C122" s="15" t="s">
        <v>22</v>
      </c>
      <c r="D122" s="11" t="s">
        <v>294</v>
      </c>
      <c r="E122" s="58">
        <f t="shared" si="23"/>
        <v>108200</v>
      </c>
      <c r="F122" s="58">
        <v>108200</v>
      </c>
      <c r="G122" s="58"/>
      <c r="H122" s="58"/>
      <c r="I122" s="58"/>
      <c r="J122" s="58"/>
      <c r="K122" s="58"/>
      <c r="L122" s="127"/>
      <c r="M122" s="58"/>
      <c r="N122" s="58"/>
      <c r="O122" s="58"/>
      <c r="P122" s="58"/>
      <c r="Q122" s="58">
        <f t="shared" si="18"/>
        <v>108200</v>
      </c>
    </row>
    <row r="123" spans="1:17" s="13" customFormat="1" ht="32.25">
      <c r="A123" s="15" t="s">
        <v>53</v>
      </c>
      <c r="B123" s="15" t="s">
        <v>52</v>
      </c>
      <c r="C123" s="15" t="s">
        <v>44</v>
      </c>
      <c r="D123" s="11" t="s">
        <v>90</v>
      </c>
      <c r="E123" s="58">
        <f t="shared" si="23"/>
        <v>560000</v>
      </c>
      <c r="F123" s="58">
        <f>263300+296700</f>
        <v>560000</v>
      </c>
      <c r="G123" s="58"/>
      <c r="H123" s="58"/>
      <c r="I123" s="58"/>
      <c r="J123" s="58"/>
      <c r="K123" s="58"/>
      <c r="L123" s="127"/>
      <c r="M123" s="58"/>
      <c r="N123" s="58"/>
      <c r="O123" s="58"/>
      <c r="P123" s="58"/>
      <c r="Q123" s="58">
        <f t="shared" si="18"/>
        <v>560000</v>
      </c>
    </row>
    <row r="124" spans="1:17" s="13" customFormat="1" ht="32.25">
      <c r="A124" s="15" t="s">
        <v>92</v>
      </c>
      <c r="B124" s="15" t="s">
        <v>93</v>
      </c>
      <c r="C124" s="15" t="s">
        <v>44</v>
      </c>
      <c r="D124" s="11" t="s">
        <v>94</v>
      </c>
      <c r="E124" s="58">
        <f t="shared" si="23"/>
        <v>300000</v>
      </c>
      <c r="F124" s="58">
        <f>190000+110000</f>
        <v>300000</v>
      </c>
      <c r="G124" s="58"/>
      <c r="H124" s="58"/>
      <c r="I124" s="58"/>
      <c r="J124" s="58"/>
      <c r="K124" s="58"/>
      <c r="L124" s="127"/>
      <c r="M124" s="58"/>
      <c r="N124" s="58"/>
      <c r="O124" s="58"/>
      <c r="P124" s="58"/>
      <c r="Q124" s="58">
        <f t="shared" si="18"/>
        <v>300000</v>
      </c>
    </row>
    <row r="125" spans="1:17" s="13" customFormat="1" ht="63.75">
      <c r="A125" s="15" t="s">
        <v>98</v>
      </c>
      <c r="B125" s="15" t="s">
        <v>99</v>
      </c>
      <c r="C125" s="15" t="s">
        <v>44</v>
      </c>
      <c r="D125" s="14" t="s">
        <v>100</v>
      </c>
      <c r="E125" s="58">
        <f t="shared" si="23"/>
        <v>788100</v>
      </c>
      <c r="F125" s="58">
        <f>544800+593300-350000</f>
        <v>788100</v>
      </c>
      <c r="G125" s="58"/>
      <c r="H125" s="58"/>
      <c r="I125" s="58"/>
      <c r="J125" s="58"/>
      <c r="K125" s="58"/>
      <c r="L125" s="127"/>
      <c r="M125" s="58"/>
      <c r="N125" s="58"/>
      <c r="O125" s="58"/>
      <c r="P125" s="58"/>
      <c r="Q125" s="58">
        <f t="shared" si="18"/>
        <v>788100</v>
      </c>
    </row>
    <row r="126" spans="1:17" s="38" customFormat="1" ht="48">
      <c r="A126" s="17" t="s">
        <v>158</v>
      </c>
      <c r="B126" s="17"/>
      <c r="C126" s="17"/>
      <c r="D126" s="18" t="s">
        <v>16</v>
      </c>
      <c r="E126" s="68">
        <f>E127</f>
        <v>69010250</v>
      </c>
      <c r="F126" s="68">
        <f>F127</f>
        <v>68930250</v>
      </c>
      <c r="G126" s="68">
        <f t="shared" ref="G126:P126" si="24">G127</f>
        <v>1541200</v>
      </c>
      <c r="H126" s="68">
        <f t="shared" si="24"/>
        <v>0</v>
      </c>
      <c r="I126" s="68">
        <f t="shared" si="24"/>
        <v>80000</v>
      </c>
      <c r="J126" s="68">
        <f t="shared" si="24"/>
        <v>101313112.11999999</v>
      </c>
      <c r="K126" s="68">
        <f t="shared" si="24"/>
        <v>99489507.409999996</v>
      </c>
      <c r="L126" s="131">
        <f t="shared" si="24"/>
        <v>84902008.210000008</v>
      </c>
      <c r="M126" s="68">
        <f t="shared" si="24"/>
        <v>546000</v>
      </c>
      <c r="N126" s="68">
        <f t="shared" si="24"/>
        <v>0</v>
      </c>
      <c r="O126" s="68">
        <f t="shared" si="24"/>
        <v>0</v>
      </c>
      <c r="P126" s="68">
        <f t="shared" si="24"/>
        <v>100767112.11999999</v>
      </c>
      <c r="Q126" s="68">
        <f t="shared" si="18"/>
        <v>170323362.12</v>
      </c>
    </row>
    <row r="127" spans="1:17" s="13" customFormat="1" ht="48">
      <c r="A127" s="17" t="s">
        <v>159</v>
      </c>
      <c r="B127" s="15"/>
      <c r="C127" s="15"/>
      <c r="D127" s="18" t="s">
        <v>16</v>
      </c>
      <c r="E127" s="63">
        <f t="shared" ref="E127:P127" si="25">E128+E130+E131+E132+E134+E135+E136+E137+E138+E139+E140+E141+E142+E143+E144+E145+E146+E129</f>
        <v>69010250</v>
      </c>
      <c r="F127" s="63">
        <f t="shared" si="25"/>
        <v>68930250</v>
      </c>
      <c r="G127" s="63">
        <f t="shared" si="25"/>
        <v>1541200</v>
      </c>
      <c r="H127" s="63">
        <f t="shared" si="25"/>
        <v>0</v>
      </c>
      <c r="I127" s="63">
        <f t="shared" si="25"/>
        <v>80000</v>
      </c>
      <c r="J127" s="63">
        <f t="shared" si="25"/>
        <v>101313112.11999999</v>
      </c>
      <c r="K127" s="63">
        <f t="shared" si="25"/>
        <v>99489507.409999996</v>
      </c>
      <c r="L127" s="126">
        <f t="shared" si="25"/>
        <v>84902008.210000008</v>
      </c>
      <c r="M127" s="63">
        <f t="shared" si="25"/>
        <v>546000</v>
      </c>
      <c r="N127" s="63">
        <f t="shared" si="25"/>
        <v>0</v>
      </c>
      <c r="O127" s="63">
        <f t="shared" si="25"/>
        <v>0</v>
      </c>
      <c r="P127" s="63">
        <f t="shared" si="25"/>
        <v>100767112.11999999</v>
      </c>
      <c r="Q127" s="68">
        <f>E127+J127</f>
        <v>170323362.12</v>
      </c>
    </row>
    <row r="128" spans="1:17" s="13" customFormat="1" ht="48">
      <c r="A128" s="15" t="s">
        <v>160</v>
      </c>
      <c r="B128" s="15" t="s">
        <v>110</v>
      </c>
      <c r="C128" s="15" t="s">
        <v>21</v>
      </c>
      <c r="D128" s="14" t="s">
        <v>112</v>
      </c>
      <c r="E128" s="58">
        <f>F128+I128</f>
        <v>1844100</v>
      </c>
      <c r="F128" s="58">
        <f>1650500+97200+21400+5000-85800+155800</f>
        <v>1844100</v>
      </c>
      <c r="G128" s="58">
        <f>1422600+97200+21400</f>
        <v>1541200</v>
      </c>
      <c r="H128" s="58"/>
      <c r="I128" s="58"/>
      <c r="J128" s="58">
        <f t="shared" ref="J128:J146" si="26">M128+P128</f>
        <v>14000</v>
      </c>
      <c r="K128" s="58">
        <f>10000+4000</f>
        <v>14000</v>
      </c>
      <c r="L128" s="127">
        <f>10000+4000</f>
        <v>14000</v>
      </c>
      <c r="M128" s="58"/>
      <c r="N128" s="58"/>
      <c r="O128" s="58"/>
      <c r="P128" s="58">
        <f>10000+4000</f>
        <v>14000</v>
      </c>
      <c r="Q128" s="58">
        <f>E128+J128</f>
        <v>1858100</v>
      </c>
    </row>
    <row r="129" spans="1:17" ht="32.25">
      <c r="A129" s="15" t="s">
        <v>386</v>
      </c>
      <c r="B129" s="15" t="s">
        <v>213</v>
      </c>
      <c r="C129" s="15" t="s">
        <v>214</v>
      </c>
      <c r="D129" s="14" t="s">
        <v>215</v>
      </c>
      <c r="E129" s="58">
        <f t="shared" ref="E129:E146" si="27">F129+I129</f>
        <v>6000</v>
      </c>
      <c r="F129" s="58">
        <v>6000</v>
      </c>
      <c r="G129" s="58"/>
      <c r="H129" s="58"/>
      <c r="I129" s="58"/>
      <c r="J129" s="58">
        <f t="shared" si="26"/>
        <v>0</v>
      </c>
      <c r="K129" s="58"/>
      <c r="L129" s="127"/>
      <c r="M129" s="58"/>
      <c r="N129" s="58"/>
      <c r="O129" s="58"/>
      <c r="P129" s="58"/>
      <c r="Q129" s="58">
        <f>E129+J129</f>
        <v>6000</v>
      </c>
    </row>
    <row r="130" spans="1:17" s="13" customFormat="1" ht="18.75">
      <c r="A130" s="15" t="s">
        <v>276</v>
      </c>
      <c r="B130" s="15" t="s">
        <v>275</v>
      </c>
      <c r="C130" s="15" t="s">
        <v>227</v>
      </c>
      <c r="D130" s="14" t="s">
        <v>228</v>
      </c>
      <c r="E130" s="58">
        <f t="shared" si="27"/>
        <v>50000</v>
      </c>
      <c r="F130" s="58">
        <v>50000</v>
      </c>
      <c r="G130" s="58"/>
      <c r="H130" s="58"/>
      <c r="I130" s="58"/>
      <c r="J130" s="63"/>
      <c r="K130" s="58"/>
      <c r="L130" s="127"/>
      <c r="M130" s="58"/>
      <c r="N130" s="58"/>
      <c r="O130" s="58"/>
      <c r="P130" s="58"/>
      <c r="Q130" s="58">
        <f>E130+J130</f>
        <v>50000</v>
      </c>
    </row>
    <row r="131" spans="1:17" s="13" customFormat="1" ht="32.25">
      <c r="A131" s="15" t="s">
        <v>176</v>
      </c>
      <c r="B131" s="15" t="s">
        <v>175</v>
      </c>
      <c r="C131" s="15" t="s">
        <v>86</v>
      </c>
      <c r="D131" s="11" t="s">
        <v>177</v>
      </c>
      <c r="E131" s="58">
        <f t="shared" si="27"/>
        <v>929030</v>
      </c>
      <c r="F131" s="59">
        <f>400000+120000+409030</f>
        <v>929030</v>
      </c>
      <c r="G131" s="58"/>
      <c r="H131" s="58"/>
      <c r="I131" s="58"/>
      <c r="J131" s="58">
        <f t="shared" si="26"/>
        <v>19103858.32</v>
      </c>
      <c r="K131" s="58">
        <f>10850000+8253858.32</f>
        <v>19103858.32</v>
      </c>
      <c r="L131" s="127">
        <f>10850000+7128808.32</f>
        <v>17978808.32</v>
      </c>
      <c r="M131" s="58"/>
      <c r="N131" s="58"/>
      <c r="O131" s="58"/>
      <c r="P131" s="58">
        <f>10850000+8253858.32</f>
        <v>19103858.32</v>
      </c>
      <c r="Q131" s="58">
        <f>E131+J131</f>
        <v>20032888.32</v>
      </c>
    </row>
    <row r="132" spans="1:17" s="13" customFormat="1" ht="32.25">
      <c r="A132" s="15" t="s">
        <v>236</v>
      </c>
      <c r="B132" s="15" t="s">
        <v>235</v>
      </c>
      <c r="C132" s="15" t="s">
        <v>28</v>
      </c>
      <c r="D132" s="11" t="s">
        <v>237</v>
      </c>
      <c r="E132" s="58">
        <f>F132+I132</f>
        <v>370800</v>
      </c>
      <c r="F132" s="59">
        <f>2500000-2129200</f>
        <v>370800</v>
      </c>
      <c r="G132" s="58"/>
      <c r="H132" s="58"/>
      <c r="I132" s="58"/>
      <c r="J132" s="58">
        <f t="shared" si="26"/>
        <v>5629200</v>
      </c>
      <c r="K132" s="58">
        <f>3500000+2129200</f>
        <v>5629200</v>
      </c>
      <c r="L132" s="127">
        <f>3500000+2129200</f>
        <v>5629200</v>
      </c>
      <c r="M132" s="58"/>
      <c r="N132" s="58"/>
      <c r="O132" s="58"/>
      <c r="P132" s="58">
        <f>3500000+2129200</f>
        <v>5629200</v>
      </c>
      <c r="Q132" s="58">
        <f t="shared" ref="Q132:Q146" si="28">E132+J132</f>
        <v>6000000</v>
      </c>
    </row>
    <row r="133" spans="1:17" s="41" customFormat="1" ht="18.75">
      <c r="A133" s="23"/>
      <c r="B133" s="23"/>
      <c r="C133" s="23"/>
      <c r="D133" s="24" t="s">
        <v>384</v>
      </c>
      <c r="E133" s="66">
        <f>F133+I133</f>
        <v>0</v>
      </c>
      <c r="F133" s="104">
        <f>2500000-2500000</f>
        <v>0</v>
      </c>
      <c r="G133" s="66"/>
      <c r="H133" s="66"/>
      <c r="I133" s="66"/>
      <c r="J133" s="58">
        <f t="shared" si="26"/>
        <v>0</v>
      </c>
      <c r="K133" s="66">
        <f>3500000-3500000</f>
        <v>0</v>
      </c>
      <c r="L133" s="128"/>
      <c r="M133" s="66"/>
      <c r="N133" s="66"/>
      <c r="O133" s="66"/>
      <c r="P133" s="66">
        <f>3500000-3500000</f>
        <v>0</v>
      </c>
      <c r="Q133" s="66">
        <f>E133+J133</f>
        <v>0</v>
      </c>
    </row>
    <row r="134" spans="1:17" s="13" customFormat="1" ht="32.25">
      <c r="A134" s="15" t="s">
        <v>179</v>
      </c>
      <c r="B134" s="15" t="s">
        <v>178</v>
      </c>
      <c r="C134" s="15" t="s">
        <v>28</v>
      </c>
      <c r="D134" s="11" t="s">
        <v>180</v>
      </c>
      <c r="E134" s="58">
        <f t="shared" si="27"/>
        <v>590000</v>
      </c>
      <c r="F134" s="59">
        <v>590000</v>
      </c>
      <c r="G134" s="58"/>
      <c r="H134" s="58"/>
      <c r="I134" s="58"/>
      <c r="J134" s="58">
        <f t="shared" si="26"/>
        <v>2000000</v>
      </c>
      <c r="K134" s="58">
        <v>2000000</v>
      </c>
      <c r="L134" s="127">
        <v>2000000</v>
      </c>
      <c r="M134" s="58"/>
      <c r="N134" s="58"/>
      <c r="O134" s="58"/>
      <c r="P134" s="58">
        <v>2000000</v>
      </c>
      <c r="Q134" s="58">
        <f t="shared" si="28"/>
        <v>2590000</v>
      </c>
    </row>
    <row r="135" spans="1:17" s="13" customFormat="1" ht="32.25">
      <c r="A135" s="15" t="s">
        <v>230</v>
      </c>
      <c r="B135" s="15" t="s">
        <v>229</v>
      </c>
      <c r="C135" s="15" t="s">
        <v>28</v>
      </c>
      <c r="D135" s="11" t="s">
        <v>231</v>
      </c>
      <c r="E135" s="58">
        <f t="shared" si="27"/>
        <v>190000</v>
      </c>
      <c r="F135" s="59">
        <f>400000-210000</f>
        <v>190000</v>
      </c>
      <c r="G135" s="58"/>
      <c r="H135" s="58"/>
      <c r="I135" s="58"/>
      <c r="J135" s="58">
        <f t="shared" si="26"/>
        <v>10180000</v>
      </c>
      <c r="K135" s="58">
        <f>10000000+180000</f>
        <v>10180000</v>
      </c>
      <c r="L135" s="127">
        <f>10000000+180000</f>
        <v>10180000</v>
      </c>
      <c r="M135" s="58"/>
      <c r="N135" s="58"/>
      <c r="O135" s="58"/>
      <c r="P135" s="58">
        <f>10000000+180000</f>
        <v>10180000</v>
      </c>
      <c r="Q135" s="58">
        <f t="shared" si="28"/>
        <v>10370000</v>
      </c>
    </row>
    <row r="136" spans="1:17" s="13" customFormat="1" ht="48">
      <c r="A136" s="15" t="s">
        <v>305</v>
      </c>
      <c r="B136" s="15" t="s">
        <v>306</v>
      </c>
      <c r="C136" s="15" t="s">
        <v>28</v>
      </c>
      <c r="D136" s="11" t="s">
        <v>307</v>
      </c>
      <c r="E136" s="58">
        <f t="shared" si="27"/>
        <v>0</v>
      </c>
      <c r="F136" s="59"/>
      <c r="G136" s="58"/>
      <c r="H136" s="58"/>
      <c r="I136" s="58"/>
      <c r="J136" s="58">
        <f t="shared" si="26"/>
        <v>3175600</v>
      </c>
      <c r="K136" s="58">
        <v>3175600</v>
      </c>
      <c r="L136" s="127">
        <v>3175600</v>
      </c>
      <c r="M136" s="58"/>
      <c r="N136" s="58"/>
      <c r="O136" s="58"/>
      <c r="P136" s="58">
        <v>3175600</v>
      </c>
      <c r="Q136" s="58">
        <f t="shared" si="28"/>
        <v>3175600</v>
      </c>
    </row>
    <row r="137" spans="1:17" s="13" customFormat="1" ht="32.25">
      <c r="A137" s="15" t="s">
        <v>308</v>
      </c>
      <c r="B137" s="15" t="s">
        <v>309</v>
      </c>
      <c r="C137" s="15" t="s">
        <v>28</v>
      </c>
      <c r="D137" s="11" t="s">
        <v>310</v>
      </c>
      <c r="E137" s="58">
        <f>F137+I137</f>
        <v>200000</v>
      </c>
      <c r="F137" s="59">
        <v>200000</v>
      </c>
      <c r="G137" s="58"/>
      <c r="H137" s="58"/>
      <c r="I137" s="58"/>
      <c r="J137" s="58">
        <f t="shared" si="26"/>
        <v>1490000</v>
      </c>
      <c r="K137" s="58">
        <f>1340000+150000</f>
        <v>1490000</v>
      </c>
      <c r="L137" s="127">
        <f>1340000+150000</f>
        <v>1490000</v>
      </c>
      <c r="M137" s="58"/>
      <c r="N137" s="58"/>
      <c r="O137" s="58"/>
      <c r="P137" s="58">
        <f>1340000+150000</f>
        <v>1490000</v>
      </c>
      <c r="Q137" s="58">
        <f t="shared" si="28"/>
        <v>1690000</v>
      </c>
    </row>
    <row r="138" spans="1:17" s="13" customFormat="1" ht="19.5" customHeight="1">
      <c r="A138" s="15" t="s">
        <v>161</v>
      </c>
      <c r="B138" s="15" t="s">
        <v>87</v>
      </c>
      <c r="C138" s="15" t="s">
        <v>28</v>
      </c>
      <c r="D138" s="14" t="s">
        <v>107</v>
      </c>
      <c r="E138" s="58">
        <f t="shared" si="27"/>
        <v>47760320</v>
      </c>
      <c r="F138" s="58">
        <f>44785400+210000+2764920</f>
        <v>47760320</v>
      </c>
      <c r="G138" s="58"/>
      <c r="H138" s="58"/>
      <c r="I138" s="58"/>
      <c r="J138" s="58">
        <f t="shared" si="26"/>
        <v>26116633.199999999</v>
      </c>
      <c r="K138" s="58">
        <f>14600000+2500000+9016633.2</f>
        <v>26116633.199999999</v>
      </c>
      <c r="L138" s="127">
        <f>12800000+2500000+5690468</f>
        <v>20990468</v>
      </c>
      <c r="M138" s="58"/>
      <c r="N138" s="58"/>
      <c r="O138" s="58"/>
      <c r="P138" s="58">
        <f>14600000+2500000+9016633.2</f>
        <v>26116633.199999999</v>
      </c>
      <c r="Q138" s="58">
        <f t="shared" si="28"/>
        <v>73876953.200000003</v>
      </c>
    </row>
    <row r="139" spans="1:17" s="13" customFormat="1" ht="18.75" hidden="1">
      <c r="A139" s="15" t="s">
        <v>321</v>
      </c>
      <c r="B139" s="15" t="s">
        <v>186</v>
      </c>
      <c r="C139" s="15" t="s">
        <v>101</v>
      </c>
      <c r="D139" s="14" t="s">
        <v>188</v>
      </c>
      <c r="E139" s="58">
        <f t="shared" si="27"/>
        <v>0</v>
      </c>
      <c r="F139" s="58"/>
      <c r="G139" s="58"/>
      <c r="H139" s="58"/>
      <c r="I139" s="58"/>
      <c r="J139" s="58">
        <f t="shared" si="26"/>
        <v>0</v>
      </c>
      <c r="K139" s="58"/>
      <c r="L139" s="127"/>
      <c r="M139" s="58"/>
      <c r="N139" s="58"/>
      <c r="O139" s="58"/>
      <c r="P139" s="58"/>
      <c r="Q139" s="58">
        <f t="shared" si="28"/>
        <v>0</v>
      </c>
    </row>
    <row r="140" spans="1:17" s="41" customFormat="1" ht="18.75">
      <c r="A140" s="15" t="s">
        <v>321</v>
      </c>
      <c r="B140" s="15" t="s">
        <v>186</v>
      </c>
      <c r="C140" s="15" t="s">
        <v>101</v>
      </c>
      <c r="D140" s="14" t="s">
        <v>188</v>
      </c>
      <c r="E140" s="58">
        <f t="shared" si="27"/>
        <v>80000</v>
      </c>
      <c r="F140" s="66"/>
      <c r="G140" s="66"/>
      <c r="H140" s="66"/>
      <c r="I140" s="66">
        <v>80000</v>
      </c>
      <c r="J140" s="58">
        <f>M140+P140</f>
        <v>100140</v>
      </c>
      <c r="K140" s="66">
        <v>100140</v>
      </c>
      <c r="L140" s="128">
        <v>100140</v>
      </c>
      <c r="M140" s="66"/>
      <c r="N140" s="66"/>
      <c r="O140" s="66"/>
      <c r="P140" s="66">
        <v>100140</v>
      </c>
      <c r="Q140" s="66">
        <f t="shared" si="28"/>
        <v>180140</v>
      </c>
    </row>
    <row r="141" spans="1:17" s="13" customFormat="1" ht="32.25">
      <c r="A141" s="15" t="s">
        <v>239</v>
      </c>
      <c r="B141" s="15" t="s">
        <v>238</v>
      </c>
      <c r="C141" s="15" t="s">
        <v>240</v>
      </c>
      <c r="D141" s="11" t="s">
        <v>241</v>
      </c>
      <c r="E141" s="58">
        <f t="shared" si="27"/>
        <v>490000</v>
      </c>
      <c r="F141" s="58">
        <f>400000+90000</f>
        <v>490000</v>
      </c>
      <c r="G141" s="58"/>
      <c r="H141" s="58"/>
      <c r="I141" s="58"/>
      <c r="J141" s="58">
        <f t="shared" si="26"/>
        <v>0</v>
      </c>
      <c r="K141" s="58"/>
      <c r="L141" s="127"/>
      <c r="M141" s="58"/>
      <c r="N141" s="58"/>
      <c r="O141" s="58"/>
      <c r="P141" s="58"/>
      <c r="Q141" s="58">
        <f t="shared" si="28"/>
        <v>490000</v>
      </c>
    </row>
    <row r="142" spans="1:17" s="13" customFormat="1" ht="32.25">
      <c r="A142" s="15" t="s">
        <v>267</v>
      </c>
      <c r="B142" s="15" t="s">
        <v>266</v>
      </c>
      <c r="C142" s="15" t="s">
        <v>46</v>
      </c>
      <c r="D142" s="14" t="s">
        <v>233</v>
      </c>
      <c r="E142" s="58">
        <f>F142+I142</f>
        <v>0</v>
      </c>
      <c r="F142" s="58"/>
      <c r="G142" s="58"/>
      <c r="H142" s="58"/>
      <c r="I142" s="58"/>
      <c r="J142" s="58">
        <f t="shared" si="26"/>
        <v>8009056.5999999996</v>
      </c>
      <c r="K142" s="58">
        <f>6500000+500000+1009056.6</f>
        <v>8009056.5999999996</v>
      </c>
      <c r="L142" s="127">
        <f>500000+1009056.6</f>
        <v>1509056.6</v>
      </c>
      <c r="M142" s="58"/>
      <c r="N142" s="58"/>
      <c r="O142" s="58"/>
      <c r="P142" s="58">
        <f>6500000+500000+1009056.6</f>
        <v>8009056.5999999996</v>
      </c>
      <c r="Q142" s="58">
        <f t="shared" si="28"/>
        <v>8009056.5999999996</v>
      </c>
    </row>
    <row r="143" spans="1:17" s="13" customFormat="1" ht="48">
      <c r="A143" s="15" t="s">
        <v>232</v>
      </c>
      <c r="B143" s="15" t="s">
        <v>173</v>
      </c>
      <c r="C143" s="15" t="s">
        <v>88</v>
      </c>
      <c r="D143" s="11" t="s">
        <v>174</v>
      </c>
      <c r="E143" s="58">
        <f t="shared" si="27"/>
        <v>16500000</v>
      </c>
      <c r="F143" s="58">
        <v>16500000</v>
      </c>
      <c r="G143" s="58"/>
      <c r="H143" s="58"/>
      <c r="I143" s="58"/>
      <c r="J143" s="58">
        <f>M143+P143</f>
        <v>16680000</v>
      </c>
      <c r="K143" s="58">
        <f>11790000+3800000+947395.29</f>
        <v>16537395.289999999</v>
      </c>
      <c r="L143" s="127">
        <f>11790000+3800000+947395.29</f>
        <v>16537395.289999999</v>
      </c>
      <c r="M143" s="58">
        <v>44000</v>
      </c>
      <c r="N143" s="58"/>
      <c r="O143" s="58"/>
      <c r="P143" s="58">
        <f>11790000+3800000+1046000</f>
        <v>16636000</v>
      </c>
      <c r="Q143" s="58">
        <f>E143+J143</f>
        <v>33180000</v>
      </c>
    </row>
    <row r="144" spans="1:17" s="41" customFormat="1" ht="48">
      <c r="A144" s="15" t="s">
        <v>342</v>
      </c>
      <c r="B144" s="15" t="s">
        <v>343</v>
      </c>
      <c r="C144" s="15" t="s">
        <v>88</v>
      </c>
      <c r="D144" s="11" t="s">
        <v>344</v>
      </c>
      <c r="E144" s="58">
        <f t="shared" si="27"/>
        <v>0</v>
      </c>
      <c r="F144" s="66"/>
      <c r="G144" s="66"/>
      <c r="H144" s="66"/>
      <c r="I144" s="66"/>
      <c r="J144" s="58">
        <f>M144+P144</f>
        <v>1000000</v>
      </c>
      <c r="K144" s="66">
        <v>1000000</v>
      </c>
      <c r="L144" s="128">
        <v>1000000</v>
      </c>
      <c r="M144" s="66"/>
      <c r="N144" s="66"/>
      <c r="O144" s="66"/>
      <c r="P144" s="66">
        <v>1000000</v>
      </c>
      <c r="Q144" s="66">
        <f>E144+J144</f>
        <v>1000000</v>
      </c>
    </row>
    <row r="145" spans="1:17" s="13" customFormat="1" ht="18.75">
      <c r="A145" s="15" t="s">
        <v>234</v>
      </c>
      <c r="B145" s="15" t="s">
        <v>171</v>
      </c>
      <c r="C145" s="15" t="s">
        <v>26</v>
      </c>
      <c r="D145" s="11" t="s">
        <v>27</v>
      </c>
      <c r="E145" s="58">
        <f>F145+I145</f>
        <v>0</v>
      </c>
      <c r="F145" s="58"/>
      <c r="G145" s="58"/>
      <c r="H145" s="58"/>
      <c r="I145" s="58"/>
      <c r="J145" s="58">
        <f t="shared" si="26"/>
        <v>6133624</v>
      </c>
      <c r="K145" s="58">
        <f>1200000+4933624</f>
        <v>6133624</v>
      </c>
      <c r="L145" s="127">
        <f>1200000+3097340</f>
        <v>4297340</v>
      </c>
      <c r="M145" s="58"/>
      <c r="N145" s="58"/>
      <c r="O145" s="58"/>
      <c r="P145" s="58">
        <f>1200000+4933624</f>
        <v>6133624</v>
      </c>
      <c r="Q145" s="58">
        <f t="shared" si="28"/>
        <v>6133624</v>
      </c>
    </row>
    <row r="146" spans="1:17" s="13" customFormat="1" ht="32.25">
      <c r="A146" s="15" t="s">
        <v>258</v>
      </c>
      <c r="B146" s="15" t="s">
        <v>249</v>
      </c>
      <c r="C146" s="15" t="s">
        <v>89</v>
      </c>
      <c r="D146" s="14" t="s">
        <v>270</v>
      </c>
      <c r="E146" s="58">
        <f t="shared" si="27"/>
        <v>0</v>
      </c>
      <c r="F146" s="58"/>
      <c r="G146" s="58"/>
      <c r="H146" s="58"/>
      <c r="I146" s="58"/>
      <c r="J146" s="58">
        <f t="shared" si="26"/>
        <v>1681000</v>
      </c>
      <c r="K146" s="58"/>
      <c r="L146" s="127"/>
      <c r="M146" s="58">
        <f>400000+102000</f>
        <v>502000</v>
      </c>
      <c r="N146" s="58"/>
      <c r="O146" s="58"/>
      <c r="P146" s="58">
        <v>1179000</v>
      </c>
      <c r="Q146" s="58">
        <f t="shared" si="28"/>
        <v>1681000</v>
      </c>
    </row>
    <row r="147" spans="1:17" s="38" customFormat="1" ht="46.5" customHeight="1">
      <c r="A147" s="17" t="s">
        <v>54</v>
      </c>
      <c r="B147" s="17"/>
      <c r="C147" s="17"/>
      <c r="D147" s="18" t="s">
        <v>20</v>
      </c>
      <c r="E147" s="63">
        <f>E148</f>
        <v>1969874</v>
      </c>
      <c r="F147" s="63">
        <f>F148</f>
        <v>1800900</v>
      </c>
      <c r="G147" s="63">
        <f t="shared" ref="G147:Q147" si="29">G148</f>
        <v>1722100</v>
      </c>
      <c r="H147" s="63">
        <f t="shared" si="29"/>
        <v>0</v>
      </c>
      <c r="I147" s="63">
        <f t="shared" si="29"/>
        <v>168974</v>
      </c>
      <c r="J147" s="63">
        <f t="shared" si="29"/>
        <v>79040966.349999994</v>
      </c>
      <c r="K147" s="63">
        <f t="shared" si="29"/>
        <v>72960900</v>
      </c>
      <c r="L147" s="126">
        <f t="shared" si="29"/>
        <v>42326400</v>
      </c>
      <c r="M147" s="63">
        <f t="shared" si="29"/>
        <v>0</v>
      </c>
      <c r="N147" s="63">
        <f t="shared" si="29"/>
        <v>0</v>
      </c>
      <c r="O147" s="63">
        <f t="shared" si="29"/>
        <v>0</v>
      </c>
      <c r="P147" s="63">
        <f t="shared" si="29"/>
        <v>79040966.349999994</v>
      </c>
      <c r="Q147" s="63">
        <f t="shared" si="29"/>
        <v>81010840.349999994</v>
      </c>
    </row>
    <row r="148" spans="1:17" s="13" customFormat="1" ht="48.75" customHeight="1">
      <c r="A148" s="17" t="s">
        <v>55</v>
      </c>
      <c r="B148" s="15"/>
      <c r="C148" s="15"/>
      <c r="D148" s="18" t="s">
        <v>20</v>
      </c>
      <c r="E148" s="63">
        <f>E149+E150+E151+E152+E153+E154+E156+E157</f>
        <v>1969874</v>
      </c>
      <c r="F148" s="63">
        <f>F149+F150+F151+F152+F153+F154+F156+F157</f>
        <v>1800900</v>
      </c>
      <c r="G148" s="63">
        <f t="shared" ref="G148:I148" si="30">G149+G150+G151+G152+G153+G154+G156+G157</f>
        <v>1722100</v>
      </c>
      <c r="H148" s="63">
        <f t="shared" si="30"/>
        <v>0</v>
      </c>
      <c r="I148" s="63">
        <f t="shared" si="30"/>
        <v>168974</v>
      </c>
      <c r="J148" s="63">
        <f t="shared" ref="J148:P148" si="31">J149+J150+J152+J153+J154+J156+J157</f>
        <v>79040966.349999994</v>
      </c>
      <c r="K148" s="63">
        <f t="shared" si="31"/>
        <v>72960900</v>
      </c>
      <c r="L148" s="126">
        <f t="shared" si="31"/>
        <v>42326400</v>
      </c>
      <c r="M148" s="63">
        <f t="shared" si="31"/>
        <v>0</v>
      </c>
      <c r="N148" s="63">
        <f t="shared" si="31"/>
        <v>0</v>
      </c>
      <c r="O148" s="63">
        <f t="shared" si="31"/>
        <v>0</v>
      </c>
      <c r="P148" s="63">
        <f t="shared" si="31"/>
        <v>79040966.349999994</v>
      </c>
      <c r="Q148" s="63">
        <f t="shared" ref="Q148:Q175" si="32">E148+J148</f>
        <v>81010840.349999994</v>
      </c>
    </row>
    <row r="149" spans="1:17" s="13" customFormat="1" ht="48">
      <c r="A149" s="15" t="s">
        <v>162</v>
      </c>
      <c r="B149" s="15" t="s">
        <v>110</v>
      </c>
      <c r="C149" s="15" t="s">
        <v>21</v>
      </c>
      <c r="D149" s="14" t="s">
        <v>112</v>
      </c>
      <c r="E149" s="58">
        <f>F149+I149</f>
        <v>1800900</v>
      </c>
      <c r="F149" s="58">
        <f>1668400+108600+23900-20000+20000</f>
        <v>1800900</v>
      </c>
      <c r="G149" s="58">
        <f>1589600+108600+23900</f>
        <v>1722100</v>
      </c>
      <c r="H149" s="58"/>
      <c r="I149" s="58"/>
      <c r="J149" s="58">
        <f t="shared" ref="J149:J157" si="33">M149+P149</f>
        <v>15000</v>
      </c>
      <c r="K149" s="58">
        <v>15000</v>
      </c>
      <c r="L149" s="127">
        <v>15000</v>
      </c>
      <c r="M149" s="58"/>
      <c r="N149" s="58"/>
      <c r="O149" s="58"/>
      <c r="P149" s="58">
        <v>15000</v>
      </c>
      <c r="Q149" s="58">
        <f t="shared" si="32"/>
        <v>1815900</v>
      </c>
    </row>
    <row r="150" spans="1:17" s="13" customFormat="1" ht="32.25">
      <c r="A150" s="15" t="s">
        <v>244</v>
      </c>
      <c r="B150" s="15" t="s">
        <v>242</v>
      </c>
      <c r="C150" s="15" t="s">
        <v>86</v>
      </c>
      <c r="D150" s="14" t="s">
        <v>243</v>
      </c>
      <c r="E150" s="58">
        <f t="shared" ref="E150:E157" si="34">F150+I150</f>
        <v>0</v>
      </c>
      <c r="F150" s="58"/>
      <c r="G150" s="58"/>
      <c r="H150" s="58"/>
      <c r="I150" s="58"/>
      <c r="J150" s="58">
        <f t="shared" si="33"/>
        <v>200000</v>
      </c>
      <c r="K150" s="58">
        <v>200000</v>
      </c>
      <c r="L150" s="127">
        <v>200000</v>
      </c>
      <c r="M150" s="58"/>
      <c r="N150" s="58"/>
      <c r="O150" s="58"/>
      <c r="P150" s="58">
        <v>200000</v>
      </c>
      <c r="Q150" s="58">
        <f t="shared" si="32"/>
        <v>200000</v>
      </c>
    </row>
    <row r="151" spans="1:17" s="13" customFormat="1" ht="32.25">
      <c r="A151" s="15" t="s">
        <v>239</v>
      </c>
      <c r="B151" s="15" t="s">
        <v>238</v>
      </c>
      <c r="C151" s="15" t="s">
        <v>240</v>
      </c>
      <c r="D151" s="11" t="s">
        <v>241</v>
      </c>
      <c r="E151" s="58">
        <f t="shared" si="34"/>
        <v>168974</v>
      </c>
      <c r="F151" s="58"/>
      <c r="G151" s="58"/>
      <c r="H151" s="58"/>
      <c r="I151" s="58">
        <v>168974</v>
      </c>
      <c r="J151" s="58">
        <f t="shared" si="33"/>
        <v>0</v>
      </c>
      <c r="K151" s="58"/>
      <c r="L151" s="127"/>
      <c r="M151" s="58"/>
      <c r="N151" s="58"/>
      <c r="O151" s="58"/>
      <c r="P151" s="58"/>
      <c r="Q151" s="58">
        <f t="shared" si="32"/>
        <v>168974</v>
      </c>
    </row>
    <row r="152" spans="1:17" s="13" customFormat="1" ht="43.5" customHeight="1">
      <c r="A152" s="15" t="s">
        <v>268</v>
      </c>
      <c r="B152" s="15" t="s">
        <v>266</v>
      </c>
      <c r="C152" s="15" t="s">
        <v>46</v>
      </c>
      <c r="D152" s="14" t="s">
        <v>233</v>
      </c>
      <c r="E152" s="58">
        <f t="shared" si="34"/>
        <v>0</v>
      </c>
      <c r="F152" s="58"/>
      <c r="G152" s="58"/>
      <c r="H152" s="58"/>
      <c r="I152" s="58"/>
      <c r="J152" s="58">
        <f t="shared" si="33"/>
        <v>62745900</v>
      </c>
      <c r="K152" s="58">
        <f>53409600+2136300+7200000</f>
        <v>62745900</v>
      </c>
      <c r="L152" s="127">
        <f>24775100+2136300+5200000</f>
        <v>32111400</v>
      </c>
      <c r="M152" s="58"/>
      <c r="N152" s="58"/>
      <c r="O152" s="58"/>
      <c r="P152" s="58">
        <f>53409600+2136300+7200000</f>
        <v>62745900</v>
      </c>
      <c r="Q152" s="58">
        <f t="shared" si="32"/>
        <v>62745900</v>
      </c>
    </row>
    <row r="153" spans="1:17" s="13" customFormat="1" ht="126.75" hidden="1">
      <c r="A153" s="15" t="s">
        <v>316</v>
      </c>
      <c r="B153" s="15" t="s">
        <v>317</v>
      </c>
      <c r="C153" s="15" t="s">
        <v>46</v>
      </c>
      <c r="D153" s="14" t="s">
        <v>318</v>
      </c>
      <c r="E153" s="58">
        <f t="shared" si="34"/>
        <v>0</v>
      </c>
      <c r="F153" s="58"/>
      <c r="G153" s="58"/>
      <c r="H153" s="58"/>
      <c r="I153" s="58"/>
      <c r="J153" s="58">
        <f t="shared" si="33"/>
        <v>0</v>
      </c>
      <c r="K153" s="58"/>
      <c r="L153" s="127"/>
      <c r="M153" s="58"/>
      <c r="N153" s="58"/>
      <c r="O153" s="58"/>
      <c r="P153" s="58"/>
      <c r="Q153" s="58">
        <f t="shared" si="32"/>
        <v>0</v>
      </c>
    </row>
    <row r="154" spans="1:17" s="13" customFormat="1" ht="53.25" hidden="1" customHeight="1">
      <c r="A154" s="15" t="s">
        <v>387</v>
      </c>
      <c r="B154" s="15" t="s">
        <v>169</v>
      </c>
      <c r="C154" s="15" t="s">
        <v>24</v>
      </c>
      <c r="D154" s="11" t="s">
        <v>274</v>
      </c>
      <c r="E154" s="58">
        <f t="shared" si="34"/>
        <v>0</v>
      </c>
      <c r="F154" s="58"/>
      <c r="G154" s="58"/>
      <c r="H154" s="58"/>
      <c r="I154" s="58"/>
      <c r="J154" s="58">
        <f>M154+P154</f>
        <v>0</v>
      </c>
      <c r="K154" s="58"/>
      <c r="L154" s="132"/>
      <c r="M154" s="58"/>
      <c r="N154" s="58"/>
      <c r="O154" s="58"/>
      <c r="P154" s="58"/>
      <c r="Q154" s="118">
        <f>E154+J154</f>
        <v>0</v>
      </c>
    </row>
    <row r="155" spans="1:17" s="41" customFormat="1" ht="24" customHeight="1">
      <c r="A155" s="23"/>
      <c r="B155" s="23"/>
      <c r="C155" s="23"/>
      <c r="D155" s="24" t="s">
        <v>384</v>
      </c>
      <c r="E155" s="58"/>
      <c r="F155" s="66"/>
      <c r="G155" s="66"/>
      <c r="H155" s="66"/>
      <c r="I155" s="66"/>
      <c r="J155" s="66">
        <f>P155+M155</f>
        <v>7430000</v>
      </c>
      <c r="K155" s="66">
        <v>7430000</v>
      </c>
      <c r="L155" s="133"/>
      <c r="M155" s="66"/>
      <c r="N155" s="66"/>
      <c r="O155" s="66"/>
      <c r="P155" s="66">
        <v>7430000</v>
      </c>
      <c r="Q155" s="104">
        <f>E155+J155</f>
        <v>7430000</v>
      </c>
    </row>
    <row r="156" spans="1:17" s="41" customFormat="1" ht="139.5" customHeight="1">
      <c r="A156" s="15" t="s">
        <v>316</v>
      </c>
      <c r="B156" s="15" t="s">
        <v>317</v>
      </c>
      <c r="C156" s="15" t="s">
        <v>46</v>
      </c>
      <c r="D156" s="14" t="s">
        <v>318</v>
      </c>
      <c r="E156" s="58">
        <f t="shared" si="34"/>
        <v>0</v>
      </c>
      <c r="F156" s="66"/>
      <c r="G156" s="66"/>
      <c r="H156" s="66"/>
      <c r="I156" s="66"/>
      <c r="J156" s="66">
        <f>P156+M156</f>
        <v>6080066.3499999996</v>
      </c>
      <c r="K156" s="66"/>
      <c r="L156" s="133"/>
      <c r="M156" s="66"/>
      <c r="N156" s="66"/>
      <c r="O156" s="66"/>
      <c r="P156" s="66">
        <v>6080066.3499999996</v>
      </c>
      <c r="Q156" s="104">
        <f>E156+J156</f>
        <v>6080066.3499999996</v>
      </c>
    </row>
    <row r="157" spans="1:17" s="13" customFormat="1" ht="36.75" customHeight="1">
      <c r="A157" s="15" t="s">
        <v>246</v>
      </c>
      <c r="B157" s="15" t="s">
        <v>245</v>
      </c>
      <c r="C157" s="15" t="s">
        <v>248</v>
      </c>
      <c r="D157" s="14" t="s">
        <v>247</v>
      </c>
      <c r="E157" s="58">
        <f t="shared" si="34"/>
        <v>0</v>
      </c>
      <c r="F157" s="58"/>
      <c r="G157" s="58"/>
      <c r="H157" s="58"/>
      <c r="I157" s="58"/>
      <c r="J157" s="58">
        <f t="shared" si="33"/>
        <v>10000000</v>
      </c>
      <c r="K157" s="58">
        <f>5000000+5000000</f>
        <v>10000000</v>
      </c>
      <c r="L157" s="127">
        <f>5000000+5000000</f>
        <v>10000000</v>
      </c>
      <c r="M157" s="58"/>
      <c r="N157" s="58"/>
      <c r="O157" s="58"/>
      <c r="P157" s="58">
        <f>5000000+5000000</f>
        <v>10000000</v>
      </c>
      <c r="Q157" s="58">
        <f t="shared" si="32"/>
        <v>10000000</v>
      </c>
    </row>
    <row r="158" spans="1:17" s="13" customFormat="1" ht="48">
      <c r="A158" s="17" t="s">
        <v>163</v>
      </c>
      <c r="B158" s="17"/>
      <c r="C158" s="17"/>
      <c r="D158" s="18" t="s">
        <v>17</v>
      </c>
      <c r="E158" s="63">
        <f>E159</f>
        <v>7843600</v>
      </c>
      <c r="F158" s="63">
        <f>F159</f>
        <v>7843600</v>
      </c>
      <c r="G158" s="63">
        <f t="shared" ref="G158:Q158" si="35">G159</f>
        <v>2085400</v>
      </c>
      <c r="H158" s="63">
        <f t="shared" si="35"/>
        <v>0</v>
      </c>
      <c r="I158" s="63">
        <f t="shared" si="35"/>
        <v>0</v>
      </c>
      <c r="J158" s="63">
        <f t="shared" si="35"/>
        <v>2955000</v>
      </c>
      <c r="K158" s="63">
        <f t="shared" si="35"/>
        <v>2955000</v>
      </c>
      <c r="L158" s="126">
        <f t="shared" si="35"/>
        <v>2955000</v>
      </c>
      <c r="M158" s="63">
        <f t="shared" si="35"/>
        <v>0</v>
      </c>
      <c r="N158" s="63">
        <f t="shared" si="35"/>
        <v>0</v>
      </c>
      <c r="O158" s="63">
        <f t="shared" si="35"/>
        <v>0</v>
      </c>
      <c r="P158" s="63">
        <f t="shared" si="35"/>
        <v>2955000</v>
      </c>
      <c r="Q158" s="63">
        <f t="shared" si="35"/>
        <v>10798600</v>
      </c>
    </row>
    <row r="159" spans="1:17" s="13" customFormat="1" ht="48">
      <c r="A159" s="17" t="s">
        <v>164</v>
      </c>
      <c r="B159" s="15"/>
      <c r="C159" s="15"/>
      <c r="D159" s="18" t="s">
        <v>17</v>
      </c>
      <c r="E159" s="63">
        <f>F159+I159</f>
        <v>7843600</v>
      </c>
      <c r="F159" s="63">
        <f>F160+F161+F162+F163+F164+F165+F168</f>
        <v>7843600</v>
      </c>
      <c r="G159" s="63">
        <f t="shared" ref="G159:I159" si="36">G160+G161+G162+G163+G164+G165+G168</f>
        <v>2085400</v>
      </c>
      <c r="H159" s="63">
        <f t="shared" si="36"/>
        <v>0</v>
      </c>
      <c r="I159" s="63">
        <f t="shared" si="36"/>
        <v>0</v>
      </c>
      <c r="J159" s="63">
        <f>M159+P159</f>
        <v>2955000</v>
      </c>
      <c r="K159" s="63">
        <f>K160+K161+K162+K163+K164+K165+K166+K167+K168</f>
        <v>2955000</v>
      </c>
      <c r="L159" s="126">
        <f t="shared" ref="L159:P159" si="37">L160+L161+L162+L163+L164+L165+L166+L167+L168</f>
        <v>2955000</v>
      </c>
      <c r="M159" s="63">
        <f t="shared" si="37"/>
        <v>0</v>
      </c>
      <c r="N159" s="63">
        <f t="shared" si="37"/>
        <v>0</v>
      </c>
      <c r="O159" s="63">
        <f t="shared" si="37"/>
        <v>0</v>
      </c>
      <c r="P159" s="63">
        <f t="shared" si="37"/>
        <v>2955000</v>
      </c>
      <c r="Q159" s="63">
        <f t="shared" ref="Q159:Q167" si="38">E159+J159</f>
        <v>10798600</v>
      </c>
    </row>
    <row r="160" spans="1:17" s="13" customFormat="1" ht="48">
      <c r="A160" s="15" t="s">
        <v>165</v>
      </c>
      <c r="B160" s="15" t="s">
        <v>110</v>
      </c>
      <c r="C160" s="15" t="s">
        <v>21</v>
      </c>
      <c r="D160" s="14" t="s">
        <v>112</v>
      </c>
      <c r="E160" s="58">
        <f t="shared" ref="E160:E165" si="39">F160+I160</f>
        <v>2343100</v>
      </c>
      <c r="F160" s="58">
        <f>2122000+131500+29000+60600-150000+150000</f>
        <v>2343100</v>
      </c>
      <c r="G160" s="58">
        <f>1924900+131500+29000</f>
        <v>2085400</v>
      </c>
      <c r="H160" s="58"/>
      <c r="I160" s="58"/>
      <c r="J160" s="58">
        <f>M160+P160</f>
        <v>30000</v>
      </c>
      <c r="K160" s="58">
        <f>12000+18000</f>
        <v>30000</v>
      </c>
      <c r="L160" s="127">
        <f>12000+18000</f>
        <v>30000</v>
      </c>
      <c r="M160" s="58"/>
      <c r="N160" s="58"/>
      <c r="O160" s="58"/>
      <c r="P160" s="58">
        <f>12000+18000</f>
        <v>30000</v>
      </c>
      <c r="Q160" s="58">
        <f t="shared" si="38"/>
        <v>2373100</v>
      </c>
    </row>
    <row r="161" spans="1:17" s="13" customFormat="1" ht="18.75">
      <c r="A161" s="15" t="s">
        <v>181</v>
      </c>
      <c r="B161" s="15" t="s">
        <v>29</v>
      </c>
      <c r="C161" s="15" t="s">
        <v>25</v>
      </c>
      <c r="D161" s="14" t="s">
        <v>182</v>
      </c>
      <c r="E161" s="58">
        <f t="shared" si="39"/>
        <v>100500</v>
      </c>
      <c r="F161" s="58">
        <v>100500</v>
      </c>
      <c r="G161" s="58"/>
      <c r="H161" s="58"/>
      <c r="I161" s="58"/>
      <c r="J161" s="58">
        <f t="shared" ref="J161:J162" si="40">M161+P161</f>
        <v>0</v>
      </c>
      <c r="K161" s="58"/>
      <c r="L161" s="127"/>
      <c r="M161" s="58"/>
      <c r="N161" s="58"/>
      <c r="O161" s="58"/>
      <c r="P161" s="58"/>
      <c r="Q161" s="58">
        <f t="shared" si="38"/>
        <v>100500</v>
      </c>
    </row>
    <row r="162" spans="1:17" s="13" customFormat="1" ht="44.25" customHeight="1">
      <c r="A162" s="15" t="s">
        <v>398</v>
      </c>
      <c r="B162" s="15" t="s">
        <v>309</v>
      </c>
      <c r="C162" s="15" t="s">
        <v>28</v>
      </c>
      <c r="D162" s="11" t="s">
        <v>310</v>
      </c>
      <c r="E162" s="58">
        <f t="shared" si="39"/>
        <v>100000</v>
      </c>
      <c r="F162" s="58">
        <v>100000</v>
      </c>
      <c r="G162" s="58"/>
      <c r="H162" s="58"/>
      <c r="I162" s="58"/>
      <c r="J162" s="58">
        <f t="shared" si="40"/>
        <v>0</v>
      </c>
      <c r="K162" s="58"/>
      <c r="L162" s="127"/>
      <c r="M162" s="58"/>
      <c r="N162" s="58"/>
      <c r="O162" s="58"/>
      <c r="P162" s="58"/>
      <c r="Q162" s="58">
        <f t="shared" si="38"/>
        <v>100000</v>
      </c>
    </row>
    <row r="163" spans="1:17" s="13" customFormat="1" ht="21.75" customHeight="1">
      <c r="A163" s="15" t="s">
        <v>187</v>
      </c>
      <c r="B163" s="15" t="s">
        <v>186</v>
      </c>
      <c r="C163" s="15" t="s">
        <v>101</v>
      </c>
      <c r="D163" s="14" t="s">
        <v>188</v>
      </c>
      <c r="E163" s="58">
        <f t="shared" si="39"/>
        <v>300000</v>
      </c>
      <c r="F163" s="58">
        <v>300000</v>
      </c>
      <c r="G163" s="58"/>
      <c r="H163" s="58"/>
      <c r="I163" s="58"/>
      <c r="J163" s="58">
        <f t="shared" ref="J163:J168" si="41">M163+P163</f>
        <v>100000</v>
      </c>
      <c r="K163" s="58">
        <v>100000</v>
      </c>
      <c r="L163" s="127">
        <v>100000</v>
      </c>
      <c r="M163" s="58"/>
      <c r="N163" s="58"/>
      <c r="O163" s="58"/>
      <c r="P163" s="58">
        <v>100000</v>
      </c>
      <c r="Q163" s="58">
        <f t="shared" si="38"/>
        <v>400000</v>
      </c>
    </row>
    <row r="164" spans="1:17" s="13" customFormat="1" ht="32.25">
      <c r="A164" s="15" t="s">
        <v>269</v>
      </c>
      <c r="B164" s="15" t="s">
        <v>266</v>
      </c>
      <c r="C164" s="15" t="s">
        <v>46</v>
      </c>
      <c r="D164" s="14" t="s">
        <v>233</v>
      </c>
      <c r="E164" s="58">
        <f t="shared" si="39"/>
        <v>0</v>
      </c>
      <c r="F164" s="58"/>
      <c r="G164" s="58"/>
      <c r="H164" s="58"/>
      <c r="I164" s="58"/>
      <c r="J164" s="58">
        <f t="shared" si="41"/>
        <v>1625000</v>
      </c>
      <c r="K164" s="58">
        <v>1625000</v>
      </c>
      <c r="L164" s="127">
        <v>1625000</v>
      </c>
      <c r="M164" s="58"/>
      <c r="N164" s="58"/>
      <c r="O164" s="58"/>
      <c r="P164" s="58">
        <v>1625000</v>
      </c>
      <c r="Q164" s="58">
        <f t="shared" si="38"/>
        <v>1625000</v>
      </c>
    </row>
    <row r="165" spans="1:17" s="13" customFormat="1" ht="32.25">
      <c r="A165" s="15" t="s">
        <v>184</v>
      </c>
      <c r="B165" s="15" t="s">
        <v>183</v>
      </c>
      <c r="C165" s="15" t="s">
        <v>46</v>
      </c>
      <c r="D165" s="14" t="s">
        <v>185</v>
      </c>
      <c r="E165" s="58">
        <f t="shared" si="39"/>
        <v>0</v>
      </c>
      <c r="F165" s="58"/>
      <c r="G165" s="58"/>
      <c r="H165" s="58"/>
      <c r="I165" s="58"/>
      <c r="J165" s="58">
        <f t="shared" si="41"/>
        <v>300000</v>
      </c>
      <c r="K165" s="58">
        <v>300000</v>
      </c>
      <c r="L165" s="127">
        <v>300000</v>
      </c>
      <c r="M165" s="58"/>
      <c r="N165" s="58"/>
      <c r="O165" s="58"/>
      <c r="P165" s="58">
        <v>300000</v>
      </c>
      <c r="Q165" s="58">
        <f t="shared" si="38"/>
        <v>300000</v>
      </c>
    </row>
    <row r="166" spans="1:17" s="13" customFormat="1" ht="63.75">
      <c r="A166" s="15" t="s">
        <v>388</v>
      </c>
      <c r="B166" s="15" t="s">
        <v>389</v>
      </c>
      <c r="C166" s="15" t="s">
        <v>46</v>
      </c>
      <c r="D166" s="14" t="s">
        <v>390</v>
      </c>
      <c r="E166" s="58"/>
      <c r="F166" s="58"/>
      <c r="G166" s="58"/>
      <c r="H166" s="58"/>
      <c r="I166" s="58"/>
      <c r="J166" s="58">
        <f t="shared" si="41"/>
        <v>300000</v>
      </c>
      <c r="K166" s="58">
        <v>300000</v>
      </c>
      <c r="L166" s="127">
        <v>300000</v>
      </c>
      <c r="M166" s="58"/>
      <c r="N166" s="58"/>
      <c r="O166" s="58"/>
      <c r="P166" s="58">
        <v>300000</v>
      </c>
      <c r="Q166" s="58">
        <f t="shared" si="38"/>
        <v>300000</v>
      </c>
    </row>
    <row r="167" spans="1:17" s="13" customFormat="1" ht="32.25">
      <c r="A167" s="15" t="s">
        <v>391</v>
      </c>
      <c r="B167" s="15" t="s">
        <v>392</v>
      </c>
      <c r="C167" s="15" t="s">
        <v>46</v>
      </c>
      <c r="D167" s="95" t="s">
        <v>393</v>
      </c>
      <c r="E167" s="58"/>
      <c r="F167" s="58"/>
      <c r="G167" s="58"/>
      <c r="H167" s="58"/>
      <c r="I167" s="58"/>
      <c r="J167" s="58">
        <f t="shared" si="41"/>
        <v>100000</v>
      </c>
      <c r="K167" s="58">
        <v>100000</v>
      </c>
      <c r="L167" s="127">
        <v>100000</v>
      </c>
      <c r="M167" s="58"/>
      <c r="N167" s="58"/>
      <c r="O167" s="58"/>
      <c r="P167" s="58">
        <v>100000</v>
      </c>
      <c r="Q167" s="58">
        <f t="shared" si="38"/>
        <v>100000</v>
      </c>
    </row>
    <row r="168" spans="1:17" s="13" customFormat="1" ht="18.75">
      <c r="A168" s="15" t="s">
        <v>394</v>
      </c>
      <c r="B168" s="15" t="s">
        <v>271</v>
      </c>
      <c r="C168" s="15" t="s">
        <v>46</v>
      </c>
      <c r="D168" s="14" t="s">
        <v>273</v>
      </c>
      <c r="E168" s="58">
        <f>F168+I168</f>
        <v>5000000</v>
      </c>
      <c r="F168" s="58">
        <v>5000000</v>
      </c>
      <c r="G168" s="58"/>
      <c r="H168" s="58"/>
      <c r="I168" s="58"/>
      <c r="J168" s="58">
        <f t="shared" si="41"/>
        <v>500000</v>
      </c>
      <c r="K168" s="58">
        <v>500000</v>
      </c>
      <c r="L168" s="127">
        <v>500000</v>
      </c>
      <c r="M168" s="58"/>
      <c r="N168" s="58"/>
      <c r="O168" s="58"/>
      <c r="P168" s="58">
        <v>500000</v>
      </c>
      <c r="Q168" s="58">
        <f>E168+J168</f>
        <v>5500000</v>
      </c>
    </row>
    <row r="169" spans="1:17" s="38" customFormat="1" ht="32.25">
      <c r="A169" s="17" t="s">
        <v>166</v>
      </c>
      <c r="B169" s="17"/>
      <c r="C169" s="17"/>
      <c r="D169" s="18" t="s">
        <v>11</v>
      </c>
      <c r="E169" s="63">
        <f>E170</f>
        <v>59527975</v>
      </c>
      <c r="F169" s="63">
        <f>F170</f>
        <v>54527975</v>
      </c>
      <c r="G169" s="63">
        <f t="shared" ref="G169:Q169" si="42">G170</f>
        <v>3067200</v>
      </c>
      <c r="H169" s="63">
        <f t="shared" si="42"/>
        <v>0</v>
      </c>
      <c r="I169" s="63">
        <f t="shared" si="42"/>
        <v>0</v>
      </c>
      <c r="J169" s="63">
        <f t="shared" si="42"/>
        <v>9382552</v>
      </c>
      <c r="K169" s="63">
        <f t="shared" si="42"/>
        <v>9382552</v>
      </c>
      <c r="L169" s="126">
        <f t="shared" si="42"/>
        <v>5599200</v>
      </c>
      <c r="M169" s="63">
        <f t="shared" si="42"/>
        <v>0</v>
      </c>
      <c r="N169" s="63">
        <f t="shared" si="42"/>
        <v>0</v>
      </c>
      <c r="O169" s="63">
        <f t="shared" si="42"/>
        <v>0</v>
      </c>
      <c r="P169" s="63">
        <f t="shared" si="42"/>
        <v>9382552</v>
      </c>
      <c r="Q169" s="63">
        <f t="shared" si="42"/>
        <v>68910527</v>
      </c>
    </row>
    <row r="170" spans="1:17" s="13" customFormat="1" ht="32.25">
      <c r="A170" s="17" t="s">
        <v>167</v>
      </c>
      <c r="B170" s="15"/>
      <c r="C170" s="15"/>
      <c r="D170" s="18" t="s">
        <v>11</v>
      </c>
      <c r="E170" s="63">
        <f>F170+I170+E173</f>
        <v>59527975</v>
      </c>
      <c r="F170" s="63">
        <f t="shared" ref="F170:I170" si="43">F171+F172+F173+F174+F175+F176</f>
        <v>54527975</v>
      </c>
      <c r="G170" s="63">
        <f t="shared" si="43"/>
        <v>3067200</v>
      </c>
      <c r="H170" s="63">
        <f t="shared" si="43"/>
        <v>0</v>
      </c>
      <c r="I170" s="63">
        <f t="shared" si="43"/>
        <v>0</v>
      </c>
      <c r="J170" s="63">
        <f>P170+M170</f>
        <v>9382552</v>
      </c>
      <c r="K170" s="63">
        <f>K171+K172+K173+K174+K175+K176</f>
        <v>9382552</v>
      </c>
      <c r="L170" s="126">
        <f t="shared" ref="L170:P170" si="44">L171+L172+L173+L174+L175+L176</f>
        <v>5599200</v>
      </c>
      <c r="M170" s="63">
        <f t="shared" si="44"/>
        <v>0</v>
      </c>
      <c r="N170" s="63">
        <f t="shared" si="44"/>
        <v>0</v>
      </c>
      <c r="O170" s="63">
        <f t="shared" si="44"/>
        <v>0</v>
      </c>
      <c r="P170" s="63">
        <f t="shared" si="44"/>
        <v>9382552</v>
      </c>
      <c r="Q170" s="63">
        <f t="shared" si="32"/>
        <v>68910527</v>
      </c>
    </row>
    <row r="171" spans="1:17" s="13" customFormat="1" ht="48">
      <c r="A171" s="15" t="s">
        <v>168</v>
      </c>
      <c r="B171" s="15" t="s">
        <v>110</v>
      </c>
      <c r="C171" s="15" t="s">
        <v>21</v>
      </c>
      <c r="D171" s="14" t="s">
        <v>112</v>
      </c>
      <c r="E171" s="58">
        <f>F171+I171</f>
        <v>3327000</v>
      </c>
      <c r="F171" s="58">
        <f>3087100+193400+42600+1500+2400-100000+100000</f>
        <v>3327000</v>
      </c>
      <c r="G171" s="58">
        <f>2831200+193400+42600</f>
        <v>3067200</v>
      </c>
      <c r="H171" s="58"/>
      <c r="I171" s="58"/>
      <c r="J171" s="58">
        <f>M171+P171</f>
        <v>30000</v>
      </c>
      <c r="K171" s="58">
        <v>30000</v>
      </c>
      <c r="L171" s="127">
        <v>30000</v>
      </c>
      <c r="M171" s="58"/>
      <c r="N171" s="58"/>
      <c r="O171" s="58"/>
      <c r="P171" s="58">
        <v>30000</v>
      </c>
      <c r="Q171" s="58">
        <f t="shared" si="32"/>
        <v>3357000</v>
      </c>
    </row>
    <row r="172" spans="1:17" s="13" customFormat="1" ht="18.75">
      <c r="A172" s="15" t="s">
        <v>189</v>
      </c>
      <c r="B172" s="15" t="s">
        <v>29</v>
      </c>
      <c r="C172" s="15" t="s">
        <v>25</v>
      </c>
      <c r="D172" s="14" t="s">
        <v>182</v>
      </c>
      <c r="E172" s="58">
        <f>F172+I172</f>
        <v>94700</v>
      </c>
      <c r="F172" s="58">
        <f>27400+10000000-5000000-100000-60600-422100-800000-3550000+2300000+1800000-4100000</f>
        <v>94700</v>
      </c>
      <c r="G172" s="58"/>
      <c r="H172" s="58"/>
      <c r="I172" s="58"/>
      <c r="J172" s="58">
        <f>M172+P172</f>
        <v>5083502</v>
      </c>
      <c r="K172" s="58">
        <f>10000000-6000000+3480900-1625000-200000-3000000+11500000-9072398</f>
        <v>5083502</v>
      </c>
      <c r="L172" s="127">
        <f>10000000-6000000+3480900-1625000-200000-3000000</f>
        <v>2655900</v>
      </c>
      <c r="M172" s="58"/>
      <c r="N172" s="58"/>
      <c r="O172" s="58"/>
      <c r="P172" s="58">
        <f>10000000-6000000+3480900-1625000-200000-3000000+11500000-9072398</f>
        <v>5083502</v>
      </c>
      <c r="Q172" s="58">
        <f t="shared" si="32"/>
        <v>5178202</v>
      </c>
    </row>
    <row r="173" spans="1:17" s="13" customFormat="1" ht="18.75">
      <c r="A173" s="15" t="s">
        <v>193</v>
      </c>
      <c r="B173" s="15" t="s">
        <v>192</v>
      </c>
      <c r="C173" s="15" t="s">
        <v>25</v>
      </c>
      <c r="D173" s="14" t="s">
        <v>7</v>
      </c>
      <c r="E173" s="58">
        <v>5000000</v>
      </c>
      <c r="F173" s="58"/>
      <c r="G173" s="58"/>
      <c r="H173" s="58"/>
      <c r="I173" s="58"/>
      <c r="J173" s="58"/>
      <c r="K173" s="58"/>
      <c r="L173" s="127"/>
      <c r="M173" s="58"/>
      <c r="N173" s="58"/>
      <c r="O173" s="58"/>
      <c r="P173" s="58"/>
      <c r="Q173" s="58">
        <f t="shared" si="32"/>
        <v>5000000</v>
      </c>
    </row>
    <row r="174" spans="1:17" s="13" customFormat="1" ht="18.75">
      <c r="A174" s="15" t="s">
        <v>191</v>
      </c>
      <c r="B174" s="15" t="s">
        <v>190</v>
      </c>
      <c r="C174" s="15" t="s">
        <v>29</v>
      </c>
      <c r="D174" s="14" t="s">
        <v>8</v>
      </c>
      <c r="E174" s="58">
        <f>F174+I174</f>
        <v>47712800</v>
      </c>
      <c r="F174" s="58">
        <f>47715200-2400</f>
        <v>47712800</v>
      </c>
      <c r="G174" s="58"/>
      <c r="H174" s="58"/>
      <c r="I174" s="58"/>
      <c r="J174" s="58"/>
      <c r="K174" s="58"/>
      <c r="L174" s="127"/>
      <c r="M174" s="58"/>
      <c r="N174" s="58"/>
      <c r="O174" s="58"/>
      <c r="P174" s="58"/>
      <c r="Q174" s="58">
        <f t="shared" si="32"/>
        <v>47712800</v>
      </c>
    </row>
    <row r="175" spans="1:17" s="13" customFormat="1" ht="18.75">
      <c r="A175" s="15" t="s">
        <v>324</v>
      </c>
      <c r="B175" s="15" t="s">
        <v>322</v>
      </c>
      <c r="C175" s="15" t="s">
        <v>29</v>
      </c>
      <c r="D175" s="37" t="s">
        <v>323</v>
      </c>
      <c r="E175" s="58"/>
      <c r="F175" s="58"/>
      <c r="G175" s="58"/>
      <c r="H175" s="58"/>
      <c r="I175" s="58"/>
      <c r="J175" s="58">
        <f>P175</f>
        <v>0</v>
      </c>
      <c r="K175" s="58">
        <f>700000-700000</f>
        <v>0</v>
      </c>
      <c r="L175" s="127">
        <f>700000-700000</f>
        <v>0</v>
      </c>
      <c r="M175" s="58"/>
      <c r="N175" s="58"/>
      <c r="O175" s="58"/>
      <c r="P175" s="58">
        <f>700000-700000</f>
        <v>0</v>
      </c>
      <c r="Q175" s="58">
        <f t="shared" si="32"/>
        <v>0</v>
      </c>
    </row>
    <row r="176" spans="1:17" s="13" customFormat="1" ht="48">
      <c r="A176" s="15" t="s">
        <v>314</v>
      </c>
      <c r="B176" s="15" t="s">
        <v>311</v>
      </c>
      <c r="C176" s="15" t="s">
        <v>29</v>
      </c>
      <c r="D176" s="14" t="s">
        <v>312</v>
      </c>
      <c r="E176" s="58">
        <f>F176+I176</f>
        <v>3393475</v>
      </c>
      <c r="F176" s="58">
        <f>F178+F179+F180+F181+F182+F183+F184+F185+F186</f>
        <v>3393475</v>
      </c>
      <c r="G176" s="58">
        <f t="shared" ref="G176:I176" si="45">G178+G179+G180+G181+G182+G183+G184+G185+G186</f>
        <v>0</v>
      </c>
      <c r="H176" s="58">
        <f t="shared" si="45"/>
        <v>0</v>
      </c>
      <c r="I176" s="58">
        <f t="shared" si="45"/>
        <v>0</v>
      </c>
      <c r="J176" s="58">
        <f>M176+P176</f>
        <v>4269050</v>
      </c>
      <c r="K176" s="58">
        <f>K178+K179+K180+K181+K182+K183+K184+K185+K186</f>
        <v>4269050</v>
      </c>
      <c r="L176" s="127">
        <f t="shared" ref="L176:P176" si="46">L178+L179+L180+L181+L182+L183+L184+L185+L186</f>
        <v>2913300</v>
      </c>
      <c r="M176" s="58">
        <f t="shared" si="46"/>
        <v>0</v>
      </c>
      <c r="N176" s="58">
        <f t="shared" si="46"/>
        <v>0</v>
      </c>
      <c r="O176" s="58">
        <f t="shared" si="46"/>
        <v>0</v>
      </c>
      <c r="P176" s="58">
        <f t="shared" si="46"/>
        <v>4269050</v>
      </c>
      <c r="Q176" s="58">
        <f>J176+E176</f>
        <v>7662525</v>
      </c>
    </row>
    <row r="177" spans="1:17" s="13" customFormat="1" ht="18.75">
      <c r="A177" s="15"/>
      <c r="B177" s="15"/>
      <c r="C177" s="15"/>
      <c r="D177" s="36" t="s">
        <v>319</v>
      </c>
      <c r="E177" s="58"/>
      <c r="F177" s="58"/>
      <c r="G177" s="58"/>
      <c r="H177" s="58"/>
      <c r="I177" s="58"/>
      <c r="J177" s="58"/>
      <c r="K177" s="58"/>
      <c r="L177" s="127"/>
      <c r="M177" s="58"/>
      <c r="N177" s="58"/>
      <c r="O177" s="58"/>
      <c r="P177" s="58"/>
      <c r="Q177" s="58"/>
    </row>
    <row r="178" spans="1:17" s="13" customFormat="1" ht="63.75">
      <c r="A178" s="15"/>
      <c r="B178" s="15"/>
      <c r="C178" s="15"/>
      <c r="D178" s="36" t="s">
        <v>345</v>
      </c>
      <c r="E178" s="58">
        <f>F178+I178</f>
        <v>1040800</v>
      </c>
      <c r="F178" s="58">
        <v>1040800</v>
      </c>
      <c r="G178" s="58"/>
      <c r="H178" s="58"/>
      <c r="I178" s="58"/>
      <c r="J178" s="58">
        <f t="shared" ref="J178:J186" si="47">M178+P178</f>
        <v>1959200</v>
      </c>
      <c r="K178" s="58">
        <v>1959200</v>
      </c>
      <c r="L178" s="127">
        <v>1959200</v>
      </c>
      <c r="M178" s="58"/>
      <c r="N178" s="58"/>
      <c r="O178" s="58"/>
      <c r="P178" s="58">
        <v>1959200</v>
      </c>
      <c r="Q178" s="58">
        <f t="shared" ref="Q178:Q186" si="48">J178+E178</f>
        <v>3000000</v>
      </c>
    </row>
    <row r="179" spans="1:17" s="13" customFormat="1" ht="63.75">
      <c r="A179" s="15"/>
      <c r="B179" s="15"/>
      <c r="C179" s="15"/>
      <c r="D179" s="36" t="s">
        <v>346</v>
      </c>
      <c r="E179" s="58">
        <f t="shared" ref="E179:E186" si="49">F179+I179</f>
        <v>182850</v>
      </c>
      <c r="F179" s="58">
        <v>182850</v>
      </c>
      <c r="G179" s="58"/>
      <c r="H179" s="58"/>
      <c r="I179" s="58"/>
      <c r="J179" s="58">
        <f t="shared" si="47"/>
        <v>113750</v>
      </c>
      <c r="K179" s="58">
        <v>113750</v>
      </c>
      <c r="L179" s="127">
        <v>113000</v>
      </c>
      <c r="M179" s="58"/>
      <c r="N179" s="58"/>
      <c r="O179" s="58"/>
      <c r="P179" s="58">
        <v>113750</v>
      </c>
      <c r="Q179" s="58">
        <f t="shared" si="48"/>
        <v>296600</v>
      </c>
    </row>
    <row r="180" spans="1:17" s="13" customFormat="1" ht="32.25">
      <c r="A180" s="15"/>
      <c r="B180" s="15"/>
      <c r="C180" s="15"/>
      <c r="D180" s="36" t="s">
        <v>347</v>
      </c>
      <c r="E180" s="58">
        <f t="shared" si="49"/>
        <v>1100000</v>
      </c>
      <c r="F180" s="58">
        <v>1100000</v>
      </c>
      <c r="G180" s="58"/>
      <c r="H180" s="58"/>
      <c r="I180" s="58"/>
      <c r="J180" s="58">
        <f t="shared" si="47"/>
        <v>1550000</v>
      </c>
      <c r="K180" s="58">
        <v>1550000</v>
      </c>
      <c r="L180" s="127">
        <v>195000</v>
      </c>
      <c r="M180" s="58"/>
      <c r="N180" s="58"/>
      <c r="O180" s="58"/>
      <c r="P180" s="58">
        <v>1550000</v>
      </c>
      <c r="Q180" s="58">
        <f t="shared" si="48"/>
        <v>2650000</v>
      </c>
    </row>
    <row r="181" spans="1:17" s="13" customFormat="1" ht="126.75">
      <c r="A181" s="15"/>
      <c r="B181" s="15"/>
      <c r="C181" s="15"/>
      <c r="D181" s="36" t="s">
        <v>348</v>
      </c>
      <c r="E181" s="58">
        <f t="shared" si="49"/>
        <v>15000</v>
      </c>
      <c r="F181" s="58">
        <v>15000</v>
      </c>
      <c r="G181" s="58"/>
      <c r="H181" s="58"/>
      <c r="I181" s="58"/>
      <c r="J181" s="58">
        <f t="shared" si="47"/>
        <v>0</v>
      </c>
      <c r="K181" s="58"/>
      <c r="L181" s="127"/>
      <c r="M181" s="58"/>
      <c r="N181" s="58"/>
      <c r="O181" s="58"/>
      <c r="P181" s="58"/>
      <c r="Q181" s="58">
        <f t="shared" si="48"/>
        <v>15000</v>
      </c>
    </row>
    <row r="182" spans="1:17" s="13" customFormat="1" ht="95.25">
      <c r="A182" s="15"/>
      <c r="B182" s="15"/>
      <c r="C182" s="15"/>
      <c r="D182" s="36" t="s">
        <v>349</v>
      </c>
      <c r="E182" s="58">
        <f t="shared" si="49"/>
        <v>379480</v>
      </c>
      <c r="F182" s="58">
        <v>379480</v>
      </c>
      <c r="G182" s="58"/>
      <c r="H182" s="58"/>
      <c r="I182" s="58"/>
      <c r="J182" s="58">
        <f t="shared" si="47"/>
        <v>0</v>
      </c>
      <c r="K182" s="58"/>
      <c r="L182" s="127"/>
      <c r="M182" s="58"/>
      <c r="N182" s="58"/>
      <c r="O182" s="58"/>
      <c r="P182" s="58"/>
      <c r="Q182" s="58">
        <f t="shared" si="48"/>
        <v>379480</v>
      </c>
    </row>
    <row r="183" spans="1:17" s="13" customFormat="1" ht="79.5">
      <c r="A183" s="15"/>
      <c r="B183" s="15"/>
      <c r="C183" s="15"/>
      <c r="D183" s="36" t="s">
        <v>350</v>
      </c>
      <c r="E183" s="58">
        <f t="shared" si="49"/>
        <v>364640</v>
      </c>
      <c r="F183" s="58">
        <v>364640</v>
      </c>
      <c r="G183" s="58"/>
      <c r="H183" s="58"/>
      <c r="I183" s="58"/>
      <c r="J183" s="58">
        <f t="shared" si="47"/>
        <v>624100</v>
      </c>
      <c r="K183" s="58">
        <v>624100</v>
      </c>
      <c r="L183" s="127">
        <v>624100</v>
      </c>
      <c r="M183" s="58"/>
      <c r="N183" s="58"/>
      <c r="O183" s="58"/>
      <c r="P183" s="58">
        <v>624100</v>
      </c>
      <c r="Q183" s="58">
        <f t="shared" si="48"/>
        <v>988740</v>
      </c>
    </row>
    <row r="184" spans="1:17" s="13" customFormat="1" ht="79.5">
      <c r="A184" s="15"/>
      <c r="B184" s="15"/>
      <c r="C184" s="15"/>
      <c r="D184" s="36" t="s">
        <v>351</v>
      </c>
      <c r="E184" s="58">
        <f t="shared" si="49"/>
        <v>125705</v>
      </c>
      <c r="F184" s="58">
        <v>125705</v>
      </c>
      <c r="G184" s="58"/>
      <c r="H184" s="58"/>
      <c r="I184" s="58"/>
      <c r="J184" s="58">
        <f t="shared" si="47"/>
        <v>7000</v>
      </c>
      <c r="K184" s="58">
        <v>7000</v>
      </c>
      <c r="L184" s="127">
        <v>7000</v>
      </c>
      <c r="M184" s="58"/>
      <c r="N184" s="58"/>
      <c r="O184" s="58"/>
      <c r="P184" s="58">
        <v>7000</v>
      </c>
      <c r="Q184" s="58">
        <f t="shared" si="48"/>
        <v>132705</v>
      </c>
    </row>
    <row r="185" spans="1:17" s="13" customFormat="1" ht="111">
      <c r="A185" s="15"/>
      <c r="B185" s="15"/>
      <c r="C185" s="15"/>
      <c r="D185" s="36" t="s">
        <v>352</v>
      </c>
      <c r="E185" s="58">
        <f t="shared" si="49"/>
        <v>15000</v>
      </c>
      <c r="F185" s="58">
        <v>15000</v>
      </c>
      <c r="G185" s="58"/>
      <c r="H185" s="58"/>
      <c r="I185" s="58"/>
      <c r="J185" s="58">
        <f t="shared" si="47"/>
        <v>15000</v>
      </c>
      <c r="K185" s="58">
        <v>15000</v>
      </c>
      <c r="L185" s="127">
        <v>15000</v>
      </c>
      <c r="M185" s="58"/>
      <c r="N185" s="58"/>
      <c r="O185" s="58"/>
      <c r="P185" s="58">
        <v>15000</v>
      </c>
      <c r="Q185" s="58">
        <f t="shared" si="48"/>
        <v>30000</v>
      </c>
    </row>
    <row r="186" spans="1:17" s="13" customFormat="1" ht="51.75" customHeight="1">
      <c r="A186" s="15"/>
      <c r="B186" s="15"/>
      <c r="C186" s="15"/>
      <c r="D186" s="36" t="s">
        <v>353</v>
      </c>
      <c r="E186" s="58">
        <f t="shared" si="49"/>
        <v>170000</v>
      </c>
      <c r="F186" s="58">
        <v>170000</v>
      </c>
      <c r="G186" s="58"/>
      <c r="H186" s="58"/>
      <c r="I186" s="58"/>
      <c r="J186" s="58">
        <f t="shared" si="47"/>
        <v>0</v>
      </c>
      <c r="K186" s="58"/>
      <c r="L186" s="127"/>
      <c r="M186" s="58"/>
      <c r="N186" s="58"/>
      <c r="O186" s="58"/>
      <c r="P186" s="58"/>
      <c r="Q186" s="58">
        <f t="shared" si="48"/>
        <v>170000</v>
      </c>
    </row>
    <row r="187" spans="1:17" s="13" customFormat="1" ht="18.75">
      <c r="A187" s="15"/>
      <c r="B187" s="15"/>
      <c r="C187" s="15"/>
      <c r="D187" s="27" t="s">
        <v>6</v>
      </c>
      <c r="E187" s="63">
        <f>E15+E49+E73+E105+E116+E126+E147+E158+E169</f>
        <v>768210652.20000005</v>
      </c>
      <c r="F187" s="63">
        <f>F15+F49+F73+F105+F116+F126+F147+F158+F169</f>
        <v>762961678.20000005</v>
      </c>
      <c r="G187" s="63">
        <f>G15+G49+G73+G105+G116+G126+G147+G158+G169</f>
        <v>289293700</v>
      </c>
      <c r="H187" s="63">
        <f>H15+H49+H73+H105+H116+H126+H147+H158+H169</f>
        <v>28739200</v>
      </c>
      <c r="I187" s="63">
        <f>I15+I49+I73+I105+I116+I126+I147+I158+I169</f>
        <v>248974</v>
      </c>
      <c r="J187" s="63">
        <f>M187+P187</f>
        <v>264131103.85999998</v>
      </c>
      <c r="K187" s="63">
        <f t="shared" ref="K187:P187" si="50">K15+K49+K73+K105+K116+K126+K147+K158+K169</f>
        <v>233942631.80000001</v>
      </c>
      <c r="L187" s="126">
        <f t="shared" si="50"/>
        <v>184044322.21000001</v>
      </c>
      <c r="M187" s="63">
        <f t="shared" si="50"/>
        <v>22736801</v>
      </c>
      <c r="N187" s="63">
        <f t="shared" si="50"/>
        <v>380500</v>
      </c>
      <c r="O187" s="63">
        <f t="shared" si="50"/>
        <v>0</v>
      </c>
      <c r="P187" s="63">
        <f t="shared" si="50"/>
        <v>241394302.85999998</v>
      </c>
      <c r="Q187" s="63">
        <f>E187+J187</f>
        <v>1032341756.0600001</v>
      </c>
    </row>
    <row r="188" spans="1:17" s="20" customFormat="1" ht="15.75">
      <c r="A188" s="28"/>
      <c r="B188" s="28"/>
      <c r="C188" s="28"/>
      <c r="E188" s="31"/>
      <c r="F188" s="31"/>
      <c r="L188" s="135"/>
    </row>
    <row r="189" spans="1:17">
      <c r="E189" s="4" t="s">
        <v>395</v>
      </c>
    </row>
    <row r="192" spans="1:17" s="114" customFormat="1">
      <c r="A192" s="113"/>
      <c r="B192" s="113"/>
      <c r="C192" s="113"/>
      <c r="E192" s="115">
        <f t="shared" ref="E192:Q192" si="51">E187-E193</f>
        <v>0</v>
      </c>
      <c r="F192" s="115">
        <f t="shared" si="51"/>
        <v>0</v>
      </c>
      <c r="G192" s="115">
        <f t="shared" si="51"/>
        <v>0</v>
      </c>
      <c r="H192" s="115">
        <f t="shared" si="51"/>
        <v>0</v>
      </c>
      <c r="I192" s="115">
        <f t="shared" si="51"/>
        <v>0</v>
      </c>
      <c r="J192" s="115">
        <f t="shared" si="51"/>
        <v>0</v>
      </c>
      <c r="K192" s="115">
        <f t="shared" si="51"/>
        <v>0</v>
      </c>
      <c r="L192" s="137">
        <f t="shared" si="51"/>
        <v>0</v>
      </c>
      <c r="M192" s="115">
        <f t="shared" si="51"/>
        <v>0</v>
      </c>
      <c r="N192" s="115">
        <f t="shared" si="51"/>
        <v>0</v>
      </c>
      <c r="O192" s="115">
        <f t="shared" si="51"/>
        <v>0</v>
      </c>
      <c r="P192" s="115">
        <f t="shared" si="51"/>
        <v>0</v>
      </c>
      <c r="Q192" s="115">
        <f t="shared" si="51"/>
        <v>0</v>
      </c>
    </row>
    <row r="193" spans="1:17" s="114" customFormat="1">
      <c r="A193" s="113"/>
      <c r="B193" s="113"/>
      <c r="C193" s="113"/>
      <c r="D193" s="114" t="s">
        <v>418</v>
      </c>
      <c r="E193" s="115">
        <f>початковий!E165+'зміни квітень'!E106</f>
        <v>768210652.20000005</v>
      </c>
      <c r="F193" s="115">
        <f>початковий!F165+'зміни квітень'!F106</f>
        <v>762961678.20000005</v>
      </c>
      <c r="G193" s="115">
        <f>початковий!G165+'зміни квітень'!G106</f>
        <v>289293700</v>
      </c>
      <c r="H193" s="115">
        <f>початковий!H165+'зміни квітень'!H106</f>
        <v>28739200</v>
      </c>
      <c r="I193" s="115">
        <f>початковий!I165+'зміни квітень'!I106</f>
        <v>248974</v>
      </c>
      <c r="J193" s="115">
        <f>початковий!J165+'зміни квітень'!J106</f>
        <v>264131103.86000001</v>
      </c>
      <c r="K193" s="115">
        <f>початковий!K165+'зміни квітень'!K106</f>
        <v>233942631.80000001</v>
      </c>
      <c r="L193" s="137">
        <f>початковий!L165+'зміни квітень'!L106</f>
        <v>184044322.21000001</v>
      </c>
      <c r="M193" s="115">
        <f>початковий!M165+'зміни квітень'!M106</f>
        <v>22736801</v>
      </c>
      <c r="N193" s="115">
        <f>початковий!N165+'зміни квітень'!N106</f>
        <v>380500</v>
      </c>
      <c r="O193" s="115">
        <f>початковий!O165+'зміни квітень'!O106</f>
        <v>0</v>
      </c>
      <c r="P193" s="115">
        <f>початковий!P165+'зміни квітень'!P106</f>
        <v>241394302.86000001</v>
      </c>
      <c r="Q193" s="115">
        <f>початковий!Q165+'зміни квітень'!Q106</f>
        <v>1032341756.0599999</v>
      </c>
    </row>
    <row r="195" spans="1:17">
      <c r="D195" s="4" t="s">
        <v>420</v>
      </c>
      <c r="E195" s="112">
        <f>E187-'[1]зі змінами 09.04.19'!$D$156</f>
        <v>0</v>
      </c>
      <c r="F195" s="112">
        <f>F187-'[1]зі змінами 09.04.19'!$E$156</f>
        <v>0</v>
      </c>
      <c r="G195" s="112">
        <f>G187-'[1]зі змінами 09.04.19'!$F$156</f>
        <v>0</v>
      </c>
      <c r="H195" s="112">
        <f>H187-'[1]зі змінами 09.04.19'!$G$156</f>
        <v>0</v>
      </c>
      <c r="I195" s="112">
        <f>I187-'[1]зі змінами 09.04.19'!$H$156</f>
        <v>0</v>
      </c>
      <c r="J195" s="112">
        <f>J187-'[1]зі змінами 09.04.19'!$I$156</f>
        <v>0</v>
      </c>
      <c r="K195" s="112">
        <f>K187-'[1]зі змінами 09.04.19'!$J$156</f>
        <v>0</v>
      </c>
      <c r="L195" s="138">
        <f>L187-'[1]зі змінами 09.04.19'!$K$156</f>
        <v>0</v>
      </c>
      <c r="M195" s="112">
        <f>M187-'[1]зі змінами 09.04.19'!$L$156</f>
        <v>0</v>
      </c>
      <c r="N195" s="112">
        <f>N187-'[1]зі змінами 09.04.19'!$M$156</f>
        <v>0</v>
      </c>
      <c r="O195" s="112">
        <f>O187-'[1]зі змінами 09.04.19'!$N$156</f>
        <v>0</v>
      </c>
      <c r="P195" s="112">
        <f>P187-'[1]зі змінами 09.04.19'!$O$156</f>
        <v>0</v>
      </c>
      <c r="Q195" s="112">
        <f>Q187-'[1]зі змінами 09.04.19'!$P$156</f>
        <v>0</v>
      </c>
    </row>
  </sheetData>
  <mergeCells count="21">
    <mergeCell ref="Q10:Q13"/>
    <mergeCell ref="E11:E13"/>
    <mergeCell ref="F11:F13"/>
    <mergeCell ref="G11:H11"/>
    <mergeCell ref="I11:I13"/>
    <mergeCell ref="J11:J13"/>
    <mergeCell ref="K11:K13"/>
    <mergeCell ref="M11:M13"/>
    <mergeCell ref="N11:O11"/>
    <mergeCell ref="P11:P13"/>
    <mergeCell ref="A8:P8"/>
    <mergeCell ref="A10:A13"/>
    <mergeCell ref="B10:B13"/>
    <mergeCell ref="C10:C13"/>
    <mergeCell ref="D10:D13"/>
    <mergeCell ref="E10:I10"/>
    <mergeCell ref="J10:P10"/>
    <mergeCell ref="G12:G13"/>
    <mergeCell ref="H12:H13"/>
    <mergeCell ref="N12:N13"/>
    <mergeCell ref="O12:O13"/>
  </mergeCells>
  <pageMargins left="0.19685039370078741" right="0.19685039370078741" top="0.19685039370078741" bottom="0.19685039370078741" header="0.19685039370078741" footer="0.19685039370078741"/>
  <pageSetup paperSize="9" scale="45" fitToHeight="1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97"/>
  <sheetViews>
    <sheetView tabSelected="1" view="pageBreakPreview" zoomScale="60" zoomScaleNormal="70" workbookViewId="0">
      <pane ySplit="10" topLeftCell="A11" activePane="bottomLeft" state="frozen"/>
      <selection pane="bottomLeft" activeCell="D58" sqref="D58"/>
    </sheetView>
  </sheetViews>
  <sheetFormatPr defaultRowHeight="15"/>
  <cols>
    <col min="1" max="1" width="18" style="6" customWidth="1"/>
    <col min="2" max="2" width="9.140625" style="6"/>
    <col min="3" max="3" width="18.42578125" style="6" customWidth="1"/>
    <col min="4" max="4" width="49.85546875" style="4" customWidth="1"/>
    <col min="5" max="5" width="21.42578125" style="4" customWidth="1"/>
    <col min="6" max="6" width="18.7109375" style="4" customWidth="1"/>
    <col min="7" max="7" width="19" style="4" customWidth="1"/>
    <col min="8" max="8" width="17.42578125" style="4" customWidth="1"/>
    <col min="9" max="9" width="14.85546875" style="4" customWidth="1"/>
    <col min="10" max="10" width="19.5703125" style="4" customWidth="1"/>
    <col min="11" max="11" width="20.5703125" style="4" customWidth="1"/>
    <col min="12" max="12" width="19.5703125" style="136" hidden="1" customWidth="1"/>
    <col min="13" max="13" width="18.42578125" style="4" customWidth="1"/>
    <col min="14" max="14" width="14" style="4" customWidth="1"/>
    <col min="15" max="15" width="14.7109375" style="4" customWidth="1"/>
    <col min="16" max="17" width="18.7109375" style="4" customWidth="1"/>
    <col min="18" max="16384" width="9.140625" style="4"/>
  </cols>
  <sheetData>
    <row r="1" spans="1:17" ht="18.75">
      <c r="A1" s="46"/>
      <c r="B1" s="1"/>
      <c r="C1" s="1"/>
      <c r="D1" s="2"/>
      <c r="E1" s="3"/>
      <c r="F1" s="3"/>
      <c r="G1" s="3"/>
      <c r="H1" s="3"/>
      <c r="I1" s="3"/>
      <c r="J1" s="3"/>
      <c r="K1" s="3"/>
      <c r="L1" s="119"/>
      <c r="M1" s="3"/>
      <c r="N1" s="3"/>
      <c r="O1" s="5" t="s">
        <v>435</v>
      </c>
      <c r="Q1" s="3"/>
    </row>
    <row r="2" spans="1:17" ht="18.75">
      <c r="A2" s="111"/>
      <c r="B2" s="1"/>
      <c r="C2" s="1"/>
      <c r="D2" s="2"/>
      <c r="E2" s="3"/>
      <c r="F2" s="3"/>
      <c r="G2" s="3"/>
      <c r="H2" s="3"/>
      <c r="I2" s="3"/>
      <c r="J2" s="3"/>
      <c r="K2" s="5"/>
      <c r="L2" s="119"/>
      <c r="M2" s="3"/>
      <c r="N2" s="3"/>
      <c r="O2" s="5" t="s">
        <v>436</v>
      </c>
      <c r="Q2" s="3"/>
    </row>
    <row r="3" spans="1:17">
      <c r="A3" s="47"/>
      <c r="B3" s="1"/>
      <c r="C3" s="1"/>
      <c r="D3" s="2"/>
      <c r="E3" s="3"/>
      <c r="F3" s="3"/>
      <c r="G3" s="3"/>
      <c r="H3" s="3"/>
      <c r="I3" s="3"/>
      <c r="J3" s="3"/>
      <c r="K3" s="5"/>
      <c r="L3" s="119"/>
      <c r="M3" s="3"/>
      <c r="N3" s="3"/>
      <c r="O3" s="5" t="s">
        <v>429</v>
      </c>
      <c r="Q3" s="3"/>
    </row>
    <row r="4" spans="1:17">
      <c r="A4" s="47"/>
      <c r="D4" s="2"/>
      <c r="E4" s="117"/>
      <c r="F4" s="3"/>
      <c r="G4" s="3"/>
      <c r="H4" s="3"/>
      <c r="I4" s="3"/>
      <c r="J4" s="3"/>
      <c r="K4" s="5"/>
      <c r="L4" s="119"/>
      <c r="M4" s="3"/>
      <c r="N4" s="3"/>
      <c r="O4" s="22" t="s">
        <v>437</v>
      </c>
      <c r="Q4" s="3"/>
    </row>
    <row r="5" spans="1:17" ht="20.25">
      <c r="A5" s="160" t="s">
        <v>354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</row>
    <row r="6" spans="1:17">
      <c r="D6" s="7"/>
      <c r="E6" s="116"/>
      <c r="F6" s="116"/>
      <c r="G6" s="116"/>
      <c r="H6" s="116"/>
      <c r="I6" s="116"/>
      <c r="J6" s="116"/>
      <c r="K6" s="116"/>
      <c r="L6" s="120"/>
      <c r="M6" s="116"/>
      <c r="N6" s="116"/>
      <c r="O6" s="116"/>
      <c r="P6" s="116"/>
      <c r="Q6" s="8" t="s">
        <v>340</v>
      </c>
    </row>
    <row r="7" spans="1:17" ht="15" customHeight="1">
      <c r="A7" s="152" t="s">
        <v>332</v>
      </c>
      <c r="B7" s="152" t="s">
        <v>333</v>
      </c>
      <c r="C7" s="155" t="s">
        <v>334</v>
      </c>
      <c r="D7" s="156" t="s">
        <v>335</v>
      </c>
      <c r="E7" s="157" t="s">
        <v>0</v>
      </c>
      <c r="F7" s="158"/>
      <c r="G7" s="158"/>
      <c r="H7" s="158"/>
      <c r="I7" s="159"/>
      <c r="J7" s="147" t="s">
        <v>4</v>
      </c>
      <c r="K7" s="147"/>
      <c r="L7" s="147"/>
      <c r="M7" s="147"/>
      <c r="N7" s="147"/>
      <c r="O7" s="147"/>
      <c r="P7" s="147"/>
      <c r="Q7" s="147" t="s">
        <v>6</v>
      </c>
    </row>
    <row r="8" spans="1:17" ht="15" customHeight="1">
      <c r="A8" s="153"/>
      <c r="B8" s="153"/>
      <c r="C8" s="155"/>
      <c r="D8" s="156"/>
      <c r="E8" s="147" t="s">
        <v>336</v>
      </c>
      <c r="F8" s="147" t="s">
        <v>329</v>
      </c>
      <c r="G8" s="147" t="s">
        <v>1</v>
      </c>
      <c r="H8" s="147"/>
      <c r="I8" s="148" t="s">
        <v>330</v>
      </c>
      <c r="J8" s="147" t="s">
        <v>336</v>
      </c>
      <c r="K8" s="147" t="s">
        <v>337</v>
      </c>
      <c r="L8" s="121"/>
      <c r="M8" s="147" t="s">
        <v>329</v>
      </c>
      <c r="N8" s="147" t="s">
        <v>1</v>
      </c>
      <c r="O8" s="147"/>
      <c r="P8" s="147" t="s">
        <v>338</v>
      </c>
      <c r="Q8" s="147"/>
    </row>
    <row r="9" spans="1:17" ht="15" customHeight="1">
      <c r="A9" s="153"/>
      <c r="B9" s="153"/>
      <c r="C9" s="155"/>
      <c r="D9" s="156"/>
      <c r="E9" s="147"/>
      <c r="F9" s="147"/>
      <c r="G9" s="147" t="s">
        <v>2</v>
      </c>
      <c r="H9" s="147" t="s">
        <v>3</v>
      </c>
      <c r="I9" s="149"/>
      <c r="J9" s="147"/>
      <c r="K9" s="147"/>
      <c r="L9" s="122" t="s">
        <v>1</v>
      </c>
      <c r="M9" s="147"/>
      <c r="N9" s="147" t="s">
        <v>2</v>
      </c>
      <c r="O9" s="147" t="s">
        <v>3</v>
      </c>
      <c r="P9" s="147"/>
      <c r="Q9" s="147"/>
    </row>
    <row r="10" spans="1:17" ht="83.25" customHeight="1">
      <c r="A10" s="154"/>
      <c r="B10" s="154"/>
      <c r="C10" s="155"/>
      <c r="D10" s="156"/>
      <c r="E10" s="147"/>
      <c r="F10" s="147"/>
      <c r="G10" s="147"/>
      <c r="H10" s="147"/>
      <c r="I10" s="150"/>
      <c r="J10" s="147"/>
      <c r="K10" s="147"/>
      <c r="L10" s="123" t="s">
        <v>5</v>
      </c>
      <c r="M10" s="147"/>
      <c r="N10" s="147"/>
      <c r="O10" s="147"/>
      <c r="P10" s="147"/>
      <c r="Q10" s="147"/>
    </row>
    <row r="11" spans="1:17">
      <c r="A11" s="9">
        <v>1</v>
      </c>
      <c r="B11" s="9">
        <v>2</v>
      </c>
      <c r="C11" s="9">
        <v>3</v>
      </c>
      <c r="D11" s="139">
        <v>4</v>
      </c>
      <c r="E11" s="139">
        <v>5</v>
      </c>
      <c r="F11" s="139">
        <v>6</v>
      </c>
      <c r="G11" s="139">
        <v>7</v>
      </c>
      <c r="H11" s="139">
        <v>8</v>
      </c>
      <c r="I11" s="139">
        <v>9</v>
      </c>
      <c r="J11" s="139">
        <v>10</v>
      </c>
      <c r="K11" s="139">
        <v>11</v>
      </c>
      <c r="L11" s="124"/>
      <c r="M11" s="139">
        <v>12</v>
      </c>
      <c r="N11" s="139">
        <v>13</v>
      </c>
      <c r="O11" s="139">
        <v>14</v>
      </c>
      <c r="P11" s="139">
        <v>15</v>
      </c>
      <c r="Q11" s="139" t="s">
        <v>339</v>
      </c>
    </row>
    <row r="12" spans="1:17" s="38" customFormat="1" ht="32.25">
      <c r="A12" s="17" t="s">
        <v>123</v>
      </c>
      <c r="B12" s="17"/>
      <c r="C12" s="17"/>
      <c r="D12" s="18" t="s">
        <v>18</v>
      </c>
      <c r="E12" s="61">
        <f>E13</f>
        <v>-180907</v>
      </c>
      <c r="F12" s="61">
        <f>F13</f>
        <v>-180907</v>
      </c>
      <c r="G12" s="61">
        <f t="shared" ref="G12:P12" si="0">G13</f>
        <v>-117261</v>
      </c>
      <c r="H12" s="61">
        <f t="shared" si="0"/>
        <v>0</v>
      </c>
      <c r="I12" s="61"/>
      <c r="J12" s="61">
        <f t="shared" si="0"/>
        <v>-3829185.99</v>
      </c>
      <c r="K12" s="61">
        <f t="shared" si="0"/>
        <v>341300</v>
      </c>
      <c r="L12" s="125">
        <f t="shared" si="0"/>
        <v>341300</v>
      </c>
      <c r="M12" s="61">
        <f t="shared" si="0"/>
        <v>-4170485.99</v>
      </c>
      <c r="N12" s="61"/>
      <c r="O12" s="61"/>
      <c r="P12" s="61">
        <f t="shared" si="0"/>
        <v>341300</v>
      </c>
      <c r="Q12" s="63">
        <f t="shared" ref="Q12:Q25" si="1">E12+J12</f>
        <v>-4010092.99</v>
      </c>
    </row>
    <row r="13" spans="1:17" s="13" customFormat="1" ht="32.25">
      <c r="A13" s="17" t="s">
        <v>124</v>
      </c>
      <c r="B13" s="15"/>
      <c r="C13" s="15"/>
      <c r="D13" s="18" t="s">
        <v>18</v>
      </c>
      <c r="E13" s="63">
        <f>E14+E18+E19+E21+E22+E23+E24</f>
        <v>-180907</v>
      </c>
      <c r="F13" s="63">
        <f t="shared" ref="F13:J13" si="2">F14+F18+F19+F21+F22+F23+F24</f>
        <v>-180907</v>
      </c>
      <c r="G13" s="63">
        <f t="shared" si="2"/>
        <v>-117261</v>
      </c>
      <c r="H13" s="63">
        <f t="shared" si="2"/>
        <v>0</v>
      </c>
      <c r="I13" s="63">
        <f t="shared" si="2"/>
        <v>0</v>
      </c>
      <c r="J13" s="63">
        <f t="shared" si="2"/>
        <v>-3829185.99</v>
      </c>
      <c r="K13" s="63">
        <f t="shared" ref="K13:P13" si="3">K14+K19+K22+K23+K24</f>
        <v>341300</v>
      </c>
      <c r="L13" s="63">
        <f t="shared" si="3"/>
        <v>341300</v>
      </c>
      <c r="M13" s="63">
        <f t="shared" si="3"/>
        <v>-4170485.99</v>
      </c>
      <c r="N13" s="63">
        <f t="shared" si="3"/>
        <v>0</v>
      </c>
      <c r="O13" s="63">
        <f t="shared" si="3"/>
        <v>0</v>
      </c>
      <c r="P13" s="63">
        <f t="shared" si="3"/>
        <v>341300</v>
      </c>
      <c r="Q13" s="63">
        <f t="shared" si="1"/>
        <v>-4010092.99</v>
      </c>
    </row>
    <row r="14" spans="1:17" s="13" customFormat="1" ht="79.5">
      <c r="A14" s="15" t="s">
        <v>125</v>
      </c>
      <c r="B14" s="15" t="s">
        <v>103</v>
      </c>
      <c r="C14" s="15" t="s">
        <v>21</v>
      </c>
      <c r="D14" s="14" t="s">
        <v>104</v>
      </c>
      <c r="E14" s="58">
        <f>E15+E16+E17</f>
        <v>-317361</v>
      </c>
      <c r="F14" s="58">
        <f t="shared" ref="F14:P14" si="4">F15+F16+F17</f>
        <v>-317361</v>
      </c>
      <c r="G14" s="58">
        <f t="shared" si="4"/>
        <v>-117261</v>
      </c>
      <c r="H14" s="58">
        <f t="shared" si="4"/>
        <v>0</v>
      </c>
      <c r="I14" s="58">
        <f t="shared" si="4"/>
        <v>0</v>
      </c>
      <c r="J14" s="58">
        <f t="shared" si="4"/>
        <v>50100</v>
      </c>
      <c r="K14" s="58">
        <f t="shared" si="4"/>
        <v>50100</v>
      </c>
      <c r="L14" s="58">
        <f t="shared" si="4"/>
        <v>50100</v>
      </c>
      <c r="M14" s="58">
        <f t="shared" si="4"/>
        <v>0</v>
      </c>
      <c r="N14" s="58">
        <f t="shared" si="4"/>
        <v>0</v>
      </c>
      <c r="O14" s="58">
        <f t="shared" si="4"/>
        <v>0</v>
      </c>
      <c r="P14" s="58">
        <f t="shared" si="4"/>
        <v>50100</v>
      </c>
      <c r="Q14" s="58">
        <f t="shared" si="1"/>
        <v>-267261</v>
      </c>
    </row>
    <row r="15" spans="1:17" s="25" customFormat="1" ht="37.5" customHeight="1">
      <c r="A15" s="23"/>
      <c r="B15" s="23"/>
      <c r="C15" s="23"/>
      <c r="D15" s="77" t="s">
        <v>18</v>
      </c>
      <c r="E15" s="66">
        <f t="shared" ref="E15:E23" si="5">F15+I15</f>
        <v>-192961</v>
      </c>
      <c r="F15" s="66">
        <f>-42961-150000</f>
        <v>-192961</v>
      </c>
      <c r="G15" s="66">
        <v>-42961</v>
      </c>
      <c r="H15" s="66"/>
      <c r="I15" s="66"/>
      <c r="J15" s="66">
        <f>M15+P15</f>
        <v>0</v>
      </c>
      <c r="K15" s="66"/>
      <c r="L15" s="128"/>
      <c r="M15" s="66"/>
      <c r="N15" s="66"/>
      <c r="O15" s="66"/>
      <c r="P15" s="66"/>
      <c r="Q15" s="66">
        <f t="shared" si="1"/>
        <v>-192961</v>
      </c>
    </row>
    <row r="16" spans="1:17" s="25" customFormat="1" ht="39.75" customHeight="1">
      <c r="A16" s="23"/>
      <c r="B16" s="23"/>
      <c r="C16" s="23"/>
      <c r="D16" s="36" t="s">
        <v>226</v>
      </c>
      <c r="E16" s="66">
        <f t="shared" si="5"/>
        <v>-44400</v>
      </c>
      <c r="F16" s="66">
        <f>5700-50100</f>
        <v>-44400</v>
      </c>
      <c r="G16" s="66">
        <v>5700</v>
      </c>
      <c r="H16" s="66"/>
      <c r="I16" s="66"/>
      <c r="J16" s="66">
        <f>M16+P16</f>
        <v>50100</v>
      </c>
      <c r="K16" s="66">
        <v>50100</v>
      </c>
      <c r="L16" s="128">
        <v>50100</v>
      </c>
      <c r="M16" s="66"/>
      <c r="N16" s="66"/>
      <c r="O16" s="66"/>
      <c r="P16" s="66">
        <v>50100</v>
      </c>
      <c r="Q16" s="66">
        <f t="shared" si="1"/>
        <v>5700</v>
      </c>
    </row>
    <row r="17" spans="1:18" s="25" customFormat="1" ht="42" customHeight="1">
      <c r="A17" s="23"/>
      <c r="B17" s="23"/>
      <c r="C17" s="23"/>
      <c r="D17" s="56" t="s">
        <v>14</v>
      </c>
      <c r="E17" s="66">
        <f t="shared" si="5"/>
        <v>-80000</v>
      </c>
      <c r="F17" s="66">
        <v>-80000</v>
      </c>
      <c r="G17" s="66">
        <v>-80000</v>
      </c>
      <c r="H17" s="66"/>
      <c r="I17" s="66"/>
      <c r="J17" s="66"/>
      <c r="K17" s="66"/>
      <c r="L17" s="128"/>
      <c r="M17" s="66"/>
      <c r="N17" s="66"/>
      <c r="O17" s="66"/>
      <c r="P17" s="66"/>
      <c r="Q17" s="66">
        <f t="shared" si="1"/>
        <v>-80000</v>
      </c>
    </row>
    <row r="18" spans="1:18" s="20" customFormat="1" ht="31.5" customHeight="1">
      <c r="A18" s="15" t="s">
        <v>222</v>
      </c>
      <c r="B18" s="15" t="s">
        <v>29</v>
      </c>
      <c r="C18" s="15" t="s">
        <v>25</v>
      </c>
      <c r="D18" s="16" t="s">
        <v>223</v>
      </c>
      <c r="E18" s="58">
        <f t="shared" si="5"/>
        <v>-200000</v>
      </c>
      <c r="F18" s="58">
        <v>-200000</v>
      </c>
      <c r="G18" s="58"/>
      <c r="H18" s="58"/>
      <c r="I18" s="58"/>
      <c r="J18" s="58"/>
      <c r="K18" s="58"/>
      <c r="L18" s="127"/>
      <c r="M18" s="58"/>
      <c r="N18" s="58"/>
      <c r="O18" s="58"/>
      <c r="P18" s="58"/>
      <c r="Q18" s="58">
        <f t="shared" si="1"/>
        <v>-200000</v>
      </c>
      <c r="R18" s="33"/>
    </row>
    <row r="19" spans="1:18" s="20" customFormat="1" ht="33.75" customHeight="1">
      <c r="A19" s="15" t="s">
        <v>126</v>
      </c>
      <c r="B19" s="15" t="s">
        <v>57</v>
      </c>
      <c r="C19" s="15" t="s">
        <v>58</v>
      </c>
      <c r="D19" s="11" t="s">
        <v>315</v>
      </c>
      <c r="E19" s="58">
        <f t="shared" si="5"/>
        <v>0</v>
      </c>
      <c r="F19" s="58"/>
      <c r="G19" s="58"/>
      <c r="H19" s="58"/>
      <c r="I19" s="58"/>
      <c r="J19" s="58">
        <f>M19+P19</f>
        <v>-3990485.99</v>
      </c>
      <c r="K19" s="58">
        <v>180000</v>
      </c>
      <c r="L19" s="127">
        <v>180000</v>
      </c>
      <c r="M19" s="58">
        <v>-4170485.99</v>
      </c>
      <c r="N19" s="58"/>
      <c r="O19" s="58"/>
      <c r="P19" s="58">
        <v>180000</v>
      </c>
      <c r="Q19" s="58">
        <f t="shared" si="1"/>
        <v>-3990485.99</v>
      </c>
    </row>
    <row r="20" spans="1:18" s="25" customFormat="1" ht="63.75">
      <c r="A20" s="23"/>
      <c r="B20" s="23"/>
      <c r="C20" s="23"/>
      <c r="D20" s="24" t="s">
        <v>431</v>
      </c>
      <c r="E20" s="66"/>
      <c r="F20" s="66"/>
      <c r="G20" s="66"/>
      <c r="H20" s="66"/>
      <c r="I20" s="66"/>
      <c r="J20" s="66">
        <f>M20+P20</f>
        <v>180000</v>
      </c>
      <c r="K20" s="66">
        <v>180000</v>
      </c>
      <c r="L20" s="128">
        <v>180000</v>
      </c>
      <c r="M20" s="66"/>
      <c r="N20" s="66"/>
      <c r="O20" s="66"/>
      <c r="P20" s="66">
        <v>180000</v>
      </c>
      <c r="Q20" s="66">
        <f>E20+J20</f>
        <v>180000</v>
      </c>
    </row>
    <row r="21" spans="1:18" s="20" customFormat="1" ht="32.25">
      <c r="A21" s="15" t="s">
        <v>256</v>
      </c>
      <c r="B21" s="15" t="s">
        <v>251</v>
      </c>
      <c r="C21" s="15" t="s">
        <v>252</v>
      </c>
      <c r="D21" s="11" t="s">
        <v>253</v>
      </c>
      <c r="E21" s="58">
        <f t="shared" ref="E21" si="6">F21+I21</f>
        <v>350000</v>
      </c>
      <c r="F21" s="58">
        <v>350000</v>
      </c>
      <c r="G21" s="58"/>
      <c r="H21" s="58"/>
      <c r="I21" s="58"/>
      <c r="J21" s="58"/>
      <c r="K21" s="58"/>
      <c r="L21" s="127"/>
      <c r="M21" s="58"/>
      <c r="N21" s="58"/>
      <c r="O21" s="58"/>
      <c r="P21" s="58"/>
      <c r="Q21" s="58">
        <f>E21+J21</f>
        <v>350000</v>
      </c>
      <c r="R21" s="33"/>
    </row>
    <row r="22" spans="1:18" ht="79.5">
      <c r="A22" s="15" t="s">
        <v>361</v>
      </c>
      <c r="B22" s="15" t="s">
        <v>49</v>
      </c>
      <c r="C22" s="15" t="s">
        <v>42</v>
      </c>
      <c r="D22" s="11" t="s">
        <v>43</v>
      </c>
      <c r="E22" s="58">
        <f t="shared" si="5"/>
        <v>97654</v>
      </c>
      <c r="F22" s="58">
        <v>97654</v>
      </c>
      <c r="G22" s="58"/>
      <c r="H22" s="58"/>
      <c r="I22" s="58"/>
      <c r="J22" s="58"/>
      <c r="K22" s="58"/>
      <c r="L22" s="127"/>
      <c r="M22" s="58"/>
      <c r="N22" s="58"/>
      <c r="O22" s="58"/>
      <c r="P22" s="58"/>
      <c r="Q22" s="58">
        <f t="shared" si="1"/>
        <v>97654</v>
      </c>
    </row>
    <row r="23" spans="1:18" ht="58.5" customHeight="1">
      <c r="A23" s="15" t="s">
        <v>414</v>
      </c>
      <c r="B23" s="15" t="s">
        <v>291</v>
      </c>
      <c r="C23" s="15" t="s">
        <v>35</v>
      </c>
      <c r="D23" s="11" t="s">
        <v>415</v>
      </c>
      <c r="E23" s="58">
        <f t="shared" si="5"/>
        <v>-12200</v>
      </c>
      <c r="F23" s="58">
        <v>-12200</v>
      </c>
      <c r="G23" s="58"/>
      <c r="H23" s="58"/>
      <c r="I23" s="58"/>
      <c r="J23" s="58">
        <f>M23+P23</f>
        <v>12200</v>
      </c>
      <c r="K23" s="58">
        <v>12200</v>
      </c>
      <c r="L23" s="127">
        <v>12200</v>
      </c>
      <c r="M23" s="58"/>
      <c r="N23" s="58"/>
      <c r="O23" s="58"/>
      <c r="P23" s="58">
        <v>12200</v>
      </c>
      <c r="Q23" s="58">
        <f t="shared" si="1"/>
        <v>0</v>
      </c>
    </row>
    <row r="24" spans="1:18" s="20" customFormat="1" ht="32.25" customHeight="1">
      <c r="A24" s="15" t="s">
        <v>128</v>
      </c>
      <c r="B24" s="15" t="s">
        <v>87</v>
      </c>
      <c r="C24" s="15" t="s">
        <v>28</v>
      </c>
      <c r="D24" s="14" t="s">
        <v>107</v>
      </c>
      <c r="E24" s="58">
        <f>E25</f>
        <v>-99000</v>
      </c>
      <c r="F24" s="58">
        <f t="shared" ref="F24:P24" si="7">F25</f>
        <v>-99000</v>
      </c>
      <c r="G24" s="58">
        <f t="shared" si="7"/>
        <v>0</v>
      </c>
      <c r="H24" s="58">
        <f t="shared" si="7"/>
        <v>0</v>
      </c>
      <c r="I24" s="58">
        <f t="shared" si="7"/>
        <v>0</v>
      </c>
      <c r="J24" s="58">
        <f t="shared" si="7"/>
        <v>99000</v>
      </c>
      <c r="K24" s="58">
        <f t="shared" si="7"/>
        <v>99000</v>
      </c>
      <c r="L24" s="58">
        <f t="shared" si="7"/>
        <v>99000</v>
      </c>
      <c r="M24" s="58">
        <f t="shared" si="7"/>
        <v>0</v>
      </c>
      <c r="N24" s="58">
        <f t="shared" si="7"/>
        <v>0</v>
      </c>
      <c r="O24" s="58">
        <f t="shared" si="7"/>
        <v>0</v>
      </c>
      <c r="P24" s="58">
        <f t="shared" si="7"/>
        <v>99000</v>
      </c>
      <c r="Q24" s="58">
        <f t="shared" si="1"/>
        <v>0</v>
      </c>
    </row>
    <row r="25" spans="1:18" s="25" customFormat="1" ht="32.25" customHeight="1">
      <c r="A25" s="23"/>
      <c r="B25" s="23"/>
      <c r="C25" s="23"/>
      <c r="D25" s="56" t="s">
        <v>226</v>
      </c>
      <c r="E25" s="58">
        <f>F25+I25</f>
        <v>-99000</v>
      </c>
      <c r="F25" s="66">
        <v>-99000</v>
      </c>
      <c r="G25" s="66"/>
      <c r="H25" s="66"/>
      <c r="I25" s="66"/>
      <c r="J25" s="58">
        <f>M25+P25</f>
        <v>99000</v>
      </c>
      <c r="K25" s="66">
        <v>99000</v>
      </c>
      <c r="L25" s="128">
        <v>99000</v>
      </c>
      <c r="M25" s="66"/>
      <c r="N25" s="66"/>
      <c r="O25" s="66"/>
      <c r="P25" s="66">
        <v>99000</v>
      </c>
      <c r="Q25" s="58">
        <f t="shared" si="1"/>
        <v>0</v>
      </c>
    </row>
    <row r="26" spans="1:18" s="21" customFormat="1" ht="32.25">
      <c r="A26" s="17" t="s">
        <v>108</v>
      </c>
      <c r="B26" s="17"/>
      <c r="C26" s="17"/>
      <c r="D26" s="18" t="s">
        <v>9</v>
      </c>
      <c r="E26" s="63">
        <f>E27</f>
        <v>531740</v>
      </c>
      <c r="F26" s="63">
        <f>F27</f>
        <v>531740</v>
      </c>
      <c r="G26" s="63">
        <f t="shared" ref="G26:P26" si="8">G27</f>
        <v>0</v>
      </c>
      <c r="H26" s="63">
        <f t="shared" si="8"/>
        <v>-728000</v>
      </c>
      <c r="I26" s="63"/>
      <c r="J26" s="63">
        <f t="shared" si="8"/>
        <v>-32058</v>
      </c>
      <c r="K26" s="63">
        <f t="shared" si="8"/>
        <v>-32058</v>
      </c>
      <c r="L26" s="126">
        <f t="shared" si="8"/>
        <v>-32058</v>
      </c>
      <c r="M26" s="63">
        <f t="shared" si="8"/>
        <v>0</v>
      </c>
      <c r="N26" s="63">
        <f t="shared" si="8"/>
        <v>0</v>
      </c>
      <c r="O26" s="63"/>
      <c r="P26" s="63">
        <f t="shared" si="8"/>
        <v>-32058</v>
      </c>
      <c r="Q26" s="63">
        <f t="shared" ref="Q26:Q53" si="9">E26+J26</f>
        <v>499682</v>
      </c>
    </row>
    <row r="27" spans="1:18" s="20" customFormat="1" ht="32.25">
      <c r="A27" s="17" t="s">
        <v>109</v>
      </c>
      <c r="B27" s="15"/>
      <c r="C27" s="15"/>
      <c r="D27" s="18" t="s">
        <v>9</v>
      </c>
      <c r="E27" s="63">
        <f>E28+E30+E34+E39+E40+E41+E42</f>
        <v>531740</v>
      </c>
      <c r="F27" s="63">
        <f t="shared" ref="F27:P27" si="10">F28+F30+F34+F39+F40+F41+F42</f>
        <v>531740</v>
      </c>
      <c r="G27" s="63">
        <f t="shared" si="10"/>
        <v>0</v>
      </c>
      <c r="H27" s="63">
        <f t="shared" si="10"/>
        <v>-728000</v>
      </c>
      <c r="I27" s="63">
        <f t="shared" si="10"/>
        <v>0</v>
      </c>
      <c r="J27" s="63">
        <f t="shared" si="10"/>
        <v>-32058</v>
      </c>
      <c r="K27" s="63">
        <f t="shared" si="10"/>
        <v>-32058</v>
      </c>
      <c r="L27" s="63">
        <f t="shared" si="10"/>
        <v>-32058</v>
      </c>
      <c r="M27" s="63">
        <f t="shared" si="10"/>
        <v>0</v>
      </c>
      <c r="N27" s="63">
        <f t="shared" si="10"/>
        <v>0</v>
      </c>
      <c r="O27" s="63">
        <f t="shared" si="10"/>
        <v>0</v>
      </c>
      <c r="P27" s="63">
        <f t="shared" si="10"/>
        <v>-32058</v>
      </c>
      <c r="Q27" s="63">
        <f t="shared" si="9"/>
        <v>499682</v>
      </c>
    </row>
    <row r="28" spans="1:18" s="20" customFormat="1" ht="18.75">
      <c r="A28" s="15" t="s">
        <v>113</v>
      </c>
      <c r="B28" s="15" t="s">
        <v>30</v>
      </c>
      <c r="C28" s="15" t="s">
        <v>31</v>
      </c>
      <c r="D28" s="11" t="s">
        <v>114</v>
      </c>
      <c r="E28" s="58">
        <f>F28+I28</f>
        <v>663375</v>
      </c>
      <c r="F28" s="59">
        <f>500000+33375+130000-420100+479100-59000</f>
        <v>663375</v>
      </c>
      <c r="G28" s="59"/>
      <c r="H28" s="59">
        <f>-420100+479100-59000</f>
        <v>0</v>
      </c>
      <c r="I28" s="59"/>
      <c r="J28" s="58">
        <f t="shared" ref="J28:J37" si="11">M28+P28</f>
        <v>14433</v>
      </c>
      <c r="K28" s="59">
        <v>14433</v>
      </c>
      <c r="L28" s="129">
        <v>14433</v>
      </c>
      <c r="M28" s="59"/>
      <c r="N28" s="59"/>
      <c r="O28" s="59"/>
      <c r="P28" s="59">
        <v>14433</v>
      </c>
      <c r="Q28" s="58">
        <f t="shared" si="9"/>
        <v>677808</v>
      </c>
    </row>
    <row r="29" spans="1:18" s="25" customFormat="1" ht="79.5">
      <c r="A29" s="23"/>
      <c r="B29" s="23"/>
      <c r="C29" s="23"/>
      <c r="D29" s="24" t="s">
        <v>422</v>
      </c>
      <c r="E29" s="66">
        <f>F29</f>
        <v>33375</v>
      </c>
      <c r="F29" s="104">
        <v>33375</v>
      </c>
      <c r="G29" s="104"/>
      <c r="H29" s="104"/>
      <c r="I29" s="104"/>
      <c r="J29" s="66">
        <f>M29+P29</f>
        <v>14433</v>
      </c>
      <c r="K29" s="104">
        <v>14433</v>
      </c>
      <c r="L29" s="130">
        <v>14433</v>
      </c>
      <c r="M29" s="104"/>
      <c r="N29" s="104"/>
      <c r="O29" s="104"/>
      <c r="P29" s="104">
        <v>14433</v>
      </c>
      <c r="Q29" s="66">
        <f>E29+J29</f>
        <v>47808</v>
      </c>
    </row>
    <row r="30" spans="1:18" s="20" customFormat="1" ht="79.5">
      <c r="A30" s="15" t="s">
        <v>115</v>
      </c>
      <c r="B30" s="15" t="s">
        <v>32</v>
      </c>
      <c r="C30" s="15" t="s">
        <v>33</v>
      </c>
      <c r="D30" s="19" t="s">
        <v>34</v>
      </c>
      <c r="E30" s="58">
        <f>F30+I30</f>
        <v>-159588</v>
      </c>
      <c r="F30" s="59">
        <f>-500000+18238+217894+415980-739400+7000+621300-200600</f>
        <v>-159588</v>
      </c>
      <c r="G30" s="59"/>
      <c r="H30" s="59">
        <f>-500000-739400+7000+621300-200600</f>
        <v>-811700</v>
      </c>
      <c r="I30" s="59"/>
      <c r="J30" s="58">
        <f t="shared" si="11"/>
        <v>-415980</v>
      </c>
      <c r="K30" s="59">
        <v>-415980</v>
      </c>
      <c r="L30" s="129">
        <v>-415980</v>
      </c>
      <c r="M30" s="59"/>
      <c r="N30" s="59"/>
      <c r="O30" s="59"/>
      <c r="P30" s="59">
        <v>-415980</v>
      </c>
      <c r="Q30" s="58">
        <f t="shared" si="9"/>
        <v>-575568</v>
      </c>
    </row>
    <row r="31" spans="1:18" s="20" customFormat="1" ht="18.75">
      <c r="A31" s="15"/>
      <c r="B31" s="15"/>
      <c r="C31" s="15"/>
      <c r="D31" s="19" t="s">
        <v>327</v>
      </c>
      <c r="E31" s="59"/>
      <c r="F31" s="59"/>
      <c r="G31" s="59"/>
      <c r="H31" s="59"/>
      <c r="I31" s="59"/>
      <c r="J31" s="58"/>
      <c r="K31" s="59"/>
      <c r="L31" s="129"/>
      <c r="M31" s="59"/>
      <c r="N31" s="59"/>
      <c r="O31" s="59"/>
      <c r="P31" s="59"/>
      <c r="Q31" s="58"/>
    </row>
    <row r="32" spans="1:18" s="25" customFormat="1" ht="126.75">
      <c r="A32" s="23"/>
      <c r="B32" s="23"/>
      <c r="C32" s="23"/>
      <c r="D32" s="24" t="s">
        <v>423</v>
      </c>
      <c r="E32" s="104">
        <f>F32</f>
        <v>18238</v>
      </c>
      <c r="F32" s="104">
        <v>18238</v>
      </c>
      <c r="G32" s="104"/>
      <c r="H32" s="104"/>
      <c r="I32" s="104"/>
      <c r="J32" s="66">
        <f>M32+P32</f>
        <v>0</v>
      </c>
      <c r="K32" s="104"/>
      <c r="L32" s="130"/>
      <c r="M32" s="104"/>
      <c r="N32" s="104"/>
      <c r="O32" s="104"/>
      <c r="P32" s="104"/>
      <c r="Q32" s="66">
        <f>E32+J32</f>
        <v>18238</v>
      </c>
    </row>
    <row r="33" spans="1:18" s="25" customFormat="1" ht="126" customHeight="1">
      <c r="A33" s="23"/>
      <c r="B33" s="23"/>
      <c r="C33" s="23"/>
      <c r="D33" s="24" t="s">
        <v>432</v>
      </c>
      <c r="E33" s="104">
        <f>F33</f>
        <v>217894</v>
      </c>
      <c r="F33" s="104">
        <v>217894</v>
      </c>
      <c r="G33" s="104"/>
      <c r="H33" s="104"/>
      <c r="I33" s="104"/>
      <c r="J33" s="66"/>
      <c r="K33" s="104"/>
      <c r="L33" s="130"/>
      <c r="M33" s="104"/>
      <c r="N33" s="104"/>
      <c r="O33" s="104"/>
      <c r="P33" s="104"/>
      <c r="Q33" s="66">
        <f>E33+J33</f>
        <v>217894</v>
      </c>
    </row>
    <row r="34" spans="1:18" s="20" customFormat="1" ht="79.5">
      <c r="A34" s="15" t="s">
        <v>117</v>
      </c>
      <c r="B34" s="15" t="s">
        <v>64</v>
      </c>
      <c r="C34" s="15" t="s">
        <v>37</v>
      </c>
      <c r="D34" s="19" t="s">
        <v>95</v>
      </c>
      <c r="E34" s="59">
        <f>F34+I34</f>
        <v>46253</v>
      </c>
      <c r="F34" s="59">
        <f>1216+14526+30511-36900+2000+34900</f>
        <v>46253</v>
      </c>
      <c r="G34" s="59"/>
      <c r="H34" s="59">
        <f>-36900+2000+34900</f>
        <v>0</v>
      </c>
      <c r="I34" s="59"/>
      <c r="J34" s="58">
        <f t="shared" si="11"/>
        <v>169489</v>
      </c>
      <c r="K34" s="59">
        <f>200000-30511</f>
        <v>169489</v>
      </c>
      <c r="L34" s="129">
        <f>200000-30511</f>
        <v>169489</v>
      </c>
      <c r="M34" s="59"/>
      <c r="N34" s="59"/>
      <c r="O34" s="59"/>
      <c r="P34" s="59">
        <f>200000-30511</f>
        <v>169489</v>
      </c>
      <c r="Q34" s="58">
        <f t="shared" si="9"/>
        <v>215742</v>
      </c>
    </row>
    <row r="35" spans="1:18" s="20" customFormat="1" ht="18.75">
      <c r="A35" s="15"/>
      <c r="B35" s="15"/>
      <c r="C35" s="15"/>
      <c r="D35" s="19" t="s">
        <v>327</v>
      </c>
      <c r="E35" s="59"/>
      <c r="F35" s="59"/>
      <c r="G35" s="59"/>
      <c r="H35" s="59"/>
      <c r="I35" s="59"/>
      <c r="J35" s="58"/>
      <c r="K35" s="59"/>
      <c r="L35" s="129"/>
      <c r="M35" s="59"/>
      <c r="N35" s="59"/>
      <c r="O35" s="59"/>
      <c r="P35" s="59"/>
      <c r="Q35" s="58"/>
    </row>
    <row r="36" spans="1:18" s="25" customFormat="1" ht="126.75">
      <c r="A36" s="23"/>
      <c r="B36" s="23"/>
      <c r="C36" s="23"/>
      <c r="D36" s="24" t="s">
        <v>423</v>
      </c>
      <c r="E36" s="104">
        <f t="shared" ref="E36:E42" si="12">F36+I36</f>
        <v>1216</v>
      </c>
      <c r="F36" s="104">
        <v>1216</v>
      </c>
      <c r="G36" s="104"/>
      <c r="H36" s="104"/>
      <c r="I36" s="104"/>
      <c r="J36" s="66">
        <f t="shared" si="11"/>
        <v>0</v>
      </c>
      <c r="K36" s="104"/>
      <c r="L36" s="130"/>
      <c r="M36" s="104"/>
      <c r="N36" s="104"/>
      <c r="O36" s="104"/>
      <c r="P36" s="104"/>
      <c r="Q36" s="66">
        <f t="shared" si="9"/>
        <v>1216</v>
      </c>
    </row>
    <row r="37" spans="1:18" s="20" customFormat="1" ht="32.25" hidden="1">
      <c r="A37" s="15" t="s">
        <v>320</v>
      </c>
      <c r="B37" s="15" t="s">
        <v>266</v>
      </c>
      <c r="C37" s="15" t="s">
        <v>46</v>
      </c>
      <c r="D37" s="14" t="s">
        <v>233</v>
      </c>
      <c r="E37" s="104">
        <f t="shared" si="12"/>
        <v>0</v>
      </c>
      <c r="F37" s="59"/>
      <c r="G37" s="59"/>
      <c r="H37" s="59"/>
      <c r="I37" s="59"/>
      <c r="J37" s="58">
        <f t="shared" si="11"/>
        <v>0</v>
      </c>
      <c r="K37" s="59">
        <f>1500-1500</f>
        <v>0</v>
      </c>
      <c r="L37" s="129">
        <f>1500-1500</f>
        <v>0</v>
      </c>
      <c r="M37" s="59"/>
      <c r="N37" s="59"/>
      <c r="O37" s="59"/>
      <c r="P37" s="59">
        <f>1500-1500</f>
        <v>0</v>
      </c>
      <c r="Q37" s="66">
        <f t="shared" si="9"/>
        <v>0</v>
      </c>
    </row>
    <row r="38" spans="1:18" s="20" customFormat="1" ht="95.25">
      <c r="A38" s="15"/>
      <c r="B38" s="15"/>
      <c r="C38" s="15"/>
      <c r="D38" s="24" t="s">
        <v>432</v>
      </c>
      <c r="E38" s="104">
        <f t="shared" si="12"/>
        <v>14526</v>
      </c>
      <c r="F38" s="104">
        <v>14526</v>
      </c>
      <c r="G38" s="104"/>
      <c r="H38" s="104"/>
      <c r="I38" s="104"/>
      <c r="J38" s="66"/>
      <c r="K38" s="104"/>
      <c r="L38" s="130"/>
      <c r="M38" s="104"/>
      <c r="N38" s="104"/>
      <c r="O38" s="104"/>
      <c r="P38" s="104"/>
      <c r="Q38" s="66">
        <f t="shared" si="9"/>
        <v>14526</v>
      </c>
      <c r="R38" s="25"/>
    </row>
    <row r="39" spans="1:18" s="20" customFormat="1" ht="48">
      <c r="A39" s="15" t="s">
        <v>118</v>
      </c>
      <c r="B39" s="15" t="s">
        <v>22</v>
      </c>
      <c r="C39" s="15" t="s">
        <v>38</v>
      </c>
      <c r="D39" s="19" t="s">
        <v>39</v>
      </c>
      <c r="E39" s="59">
        <f t="shared" si="12"/>
        <v>-201400</v>
      </c>
      <c r="F39" s="59">
        <f>-200000-38000+48600-12000</f>
        <v>-201400</v>
      </c>
      <c r="G39" s="59"/>
      <c r="H39" s="59">
        <f>-38000+48600-12000</f>
        <v>-1400</v>
      </c>
      <c r="I39" s="59"/>
      <c r="J39" s="58">
        <f t="shared" ref="J39" si="13">M39+P39</f>
        <v>200000</v>
      </c>
      <c r="K39" s="59">
        <v>200000</v>
      </c>
      <c r="L39" s="129">
        <v>200000</v>
      </c>
      <c r="M39" s="59"/>
      <c r="N39" s="59"/>
      <c r="O39" s="59"/>
      <c r="P39" s="59">
        <v>200000</v>
      </c>
      <c r="Q39" s="58">
        <f t="shared" si="9"/>
        <v>-1400</v>
      </c>
    </row>
    <row r="40" spans="1:18" s="20" customFormat="1" ht="32.25">
      <c r="A40" s="15" t="s">
        <v>260</v>
      </c>
      <c r="B40" s="15" t="s">
        <v>259</v>
      </c>
      <c r="C40" s="15" t="s">
        <v>41</v>
      </c>
      <c r="D40" s="19" t="s">
        <v>299</v>
      </c>
      <c r="E40" s="59">
        <f t="shared" si="12"/>
        <v>0</v>
      </c>
      <c r="F40" s="59">
        <f>-7900+7900</f>
        <v>0</v>
      </c>
      <c r="G40" s="59"/>
      <c r="H40" s="59">
        <f>-7900+7900</f>
        <v>0</v>
      </c>
      <c r="I40" s="59"/>
      <c r="J40" s="58"/>
      <c r="K40" s="59"/>
      <c r="L40" s="129"/>
      <c r="M40" s="59"/>
      <c r="N40" s="59"/>
      <c r="O40" s="59"/>
      <c r="P40" s="59"/>
      <c r="Q40" s="58">
        <f t="shared" si="9"/>
        <v>0</v>
      </c>
    </row>
    <row r="41" spans="1:18" s="20" customFormat="1" ht="32.25">
      <c r="A41" s="15" t="s">
        <v>402</v>
      </c>
      <c r="B41" s="15" t="s">
        <v>401</v>
      </c>
      <c r="C41" s="15" t="s">
        <v>41</v>
      </c>
      <c r="D41" s="19" t="s">
        <v>400</v>
      </c>
      <c r="E41" s="59">
        <f t="shared" si="12"/>
        <v>158000</v>
      </c>
      <c r="F41" s="59">
        <f>50000+48000+42700+2000+13300+2000</f>
        <v>158000</v>
      </c>
      <c r="G41" s="59"/>
      <c r="H41" s="59">
        <f>42700+2000+13300+2000</f>
        <v>60000</v>
      </c>
      <c r="I41" s="59"/>
      <c r="J41" s="58">
        <f t="shared" ref="J41:J42" si="14">M41+P41</f>
        <v>0</v>
      </c>
      <c r="K41" s="59"/>
      <c r="L41" s="129"/>
      <c r="M41" s="59"/>
      <c r="N41" s="59"/>
      <c r="O41" s="59"/>
      <c r="P41" s="59"/>
      <c r="Q41" s="58">
        <f t="shared" si="9"/>
        <v>158000</v>
      </c>
    </row>
    <row r="42" spans="1:18" s="20" customFormat="1" ht="46.5" customHeight="1">
      <c r="A42" s="15" t="s">
        <v>129</v>
      </c>
      <c r="B42" s="15" t="s">
        <v>96</v>
      </c>
      <c r="C42" s="15" t="s">
        <v>44</v>
      </c>
      <c r="D42" s="11" t="s">
        <v>45</v>
      </c>
      <c r="E42" s="59">
        <f t="shared" si="12"/>
        <v>25100</v>
      </c>
      <c r="F42" s="59">
        <f>12000+1000+12100</f>
        <v>25100</v>
      </c>
      <c r="G42" s="59"/>
      <c r="H42" s="59">
        <f>12000+1000+12100</f>
        <v>25100</v>
      </c>
      <c r="I42" s="59"/>
      <c r="J42" s="58">
        <f t="shared" si="14"/>
        <v>0</v>
      </c>
      <c r="K42" s="59"/>
      <c r="L42" s="129"/>
      <c r="M42" s="59"/>
      <c r="N42" s="59"/>
      <c r="O42" s="59"/>
      <c r="P42" s="59"/>
      <c r="Q42" s="58">
        <f t="shared" si="9"/>
        <v>25100</v>
      </c>
    </row>
    <row r="43" spans="1:18" s="21" customFormat="1" ht="55.5" customHeight="1">
      <c r="A43" s="17" t="s">
        <v>130</v>
      </c>
      <c r="B43" s="17"/>
      <c r="C43" s="17"/>
      <c r="D43" s="18" t="s">
        <v>15</v>
      </c>
      <c r="E43" s="63">
        <f>E44</f>
        <v>2670366</v>
      </c>
      <c r="F43" s="63">
        <f>F44</f>
        <v>2670366</v>
      </c>
      <c r="G43" s="63">
        <f t="shared" ref="G43:P43" si="15">G44</f>
        <v>562800</v>
      </c>
      <c r="H43" s="63">
        <f t="shared" si="15"/>
        <v>0</v>
      </c>
      <c r="I43" s="63">
        <f t="shared" si="15"/>
        <v>0</v>
      </c>
      <c r="J43" s="63">
        <f t="shared" si="15"/>
        <v>0</v>
      </c>
      <c r="K43" s="63">
        <f t="shared" si="15"/>
        <v>0</v>
      </c>
      <c r="L43" s="126">
        <f t="shared" si="15"/>
        <v>0</v>
      </c>
      <c r="M43" s="63">
        <f t="shared" si="15"/>
        <v>0</v>
      </c>
      <c r="N43" s="63">
        <f t="shared" si="15"/>
        <v>0</v>
      </c>
      <c r="O43" s="63">
        <f t="shared" si="15"/>
        <v>0</v>
      </c>
      <c r="P43" s="63">
        <f t="shared" si="15"/>
        <v>0</v>
      </c>
      <c r="Q43" s="63">
        <f t="shared" si="9"/>
        <v>2670366</v>
      </c>
    </row>
    <row r="44" spans="1:18" s="20" customFormat="1" ht="49.5" customHeight="1">
      <c r="A44" s="17" t="s">
        <v>131</v>
      </c>
      <c r="B44" s="15"/>
      <c r="C44" s="15"/>
      <c r="D44" s="18" t="s">
        <v>15</v>
      </c>
      <c r="E44" s="63">
        <f>E45+E46+E47+E48+E49+E50+E51+E52+E53+E54</f>
        <v>2670366</v>
      </c>
      <c r="F44" s="63">
        <f t="shared" ref="F44:P44" si="16">F45+F46+F47+F48+F49+F50+F51+F52+F53+F54</f>
        <v>2670366</v>
      </c>
      <c r="G44" s="63">
        <f t="shared" si="16"/>
        <v>562800</v>
      </c>
      <c r="H44" s="63">
        <f t="shared" si="16"/>
        <v>0</v>
      </c>
      <c r="I44" s="63">
        <f t="shared" si="16"/>
        <v>0</v>
      </c>
      <c r="J44" s="63">
        <f t="shared" si="16"/>
        <v>0</v>
      </c>
      <c r="K44" s="63">
        <f t="shared" si="16"/>
        <v>0</v>
      </c>
      <c r="L44" s="63">
        <f t="shared" si="16"/>
        <v>0</v>
      </c>
      <c r="M44" s="63">
        <f t="shared" si="16"/>
        <v>0</v>
      </c>
      <c r="N44" s="63">
        <f t="shared" si="16"/>
        <v>0</v>
      </c>
      <c r="O44" s="63">
        <f t="shared" si="16"/>
        <v>0</v>
      </c>
      <c r="P44" s="63">
        <f t="shared" si="16"/>
        <v>0</v>
      </c>
      <c r="Q44" s="63">
        <f>E44+J44</f>
        <v>2670366</v>
      </c>
    </row>
    <row r="45" spans="1:18" s="40" customFormat="1" ht="48">
      <c r="A45" s="15" t="s">
        <v>195</v>
      </c>
      <c r="B45" s="15" t="s">
        <v>60</v>
      </c>
      <c r="C45" s="15" t="s">
        <v>35</v>
      </c>
      <c r="D45" s="11" t="s">
        <v>194</v>
      </c>
      <c r="E45" s="58">
        <f>F45+I45</f>
        <v>6307700</v>
      </c>
      <c r="F45" s="58">
        <f>3500000+1322000+1485700</f>
        <v>6307700</v>
      </c>
      <c r="G45" s="58"/>
      <c r="H45" s="58"/>
      <c r="I45" s="58"/>
      <c r="J45" s="63"/>
      <c r="K45" s="58"/>
      <c r="L45" s="127"/>
      <c r="M45" s="58"/>
      <c r="N45" s="58"/>
      <c r="O45" s="58"/>
      <c r="P45" s="58"/>
      <c r="Q45" s="58">
        <f t="shared" si="9"/>
        <v>6307700</v>
      </c>
    </row>
    <row r="46" spans="1:18" s="40" customFormat="1" ht="32.25">
      <c r="A46" s="15" t="s">
        <v>196</v>
      </c>
      <c r="B46" s="15" t="s">
        <v>63</v>
      </c>
      <c r="C46" s="15" t="s">
        <v>35</v>
      </c>
      <c r="D46" s="11" t="s">
        <v>79</v>
      </c>
      <c r="E46" s="58">
        <f t="shared" ref="E46:E54" si="17">F46+I46</f>
        <v>-4822000</v>
      </c>
      <c r="F46" s="58">
        <f>-3500000-1322000</f>
        <v>-4822000</v>
      </c>
      <c r="G46" s="58"/>
      <c r="H46" s="58"/>
      <c r="I46" s="58"/>
      <c r="J46" s="63"/>
      <c r="K46" s="58"/>
      <c r="L46" s="127"/>
      <c r="M46" s="58"/>
      <c r="N46" s="58"/>
      <c r="O46" s="58"/>
      <c r="P46" s="58"/>
      <c r="Q46" s="58">
        <f t="shared" si="9"/>
        <v>-4822000</v>
      </c>
    </row>
    <row r="47" spans="1:18" s="13" customFormat="1" ht="18.75">
      <c r="A47" s="15" t="s">
        <v>207</v>
      </c>
      <c r="B47" s="15" t="s">
        <v>69</v>
      </c>
      <c r="C47" s="15" t="s">
        <v>42</v>
      </c>
      <c r="D47" s="14" t="s">
        <v>70</v>
      </c>
      <c r="E47" s="58">
        <f t="shared" si="17"/>
        <v>-1420000</v>
      </c>
      <c r="F47" s="58">
        <f>-1400000-20000</f>
        <v>-1420000</v>
      </c>
      <c r="G47" s="58"/>
      <c r="H47" s="58"/>
      <c r="I47" s="58"/>
      <c r="J47" s="63"/>
      <c r="K47" s="58"/>
      <c r="L47" s="127"/>
      <c r="M47" s="58"/>
      <c r="N47" s="58"/>
      <c r="O47" s="58"/>
      <c r="P47" s="58"/>
      <c r="Q47" s="58">
        <f t="shared" si="9"/>
        <v>-1420000</v>
      </c>
    </row>
    <row r="48" spans="1:18" s="13" customFormat="1" ht="32.25">
      <c r="A48" s="15" t="s">
        <v>425</v>
      </c>
      <c r="B48" s="15" t="s">
        <v>426</v>
      </c>
      <c r="C48" s="15" t="s">
        <v>42</v>
      </c>
      <c r="D48" s="14" t="s">
        <v>427</v>
      </c>
      <c r="E48" s="58">
        <f t="shared" si="17"/>
        <v>20000</v>
      </c>
      <c r="F48" s="58">
        <v>20000</v>
      </c>
      <c r="G48" s="58"/>
      <c r="H48" s="58"/>
      <c r="I48" s="58"/>
      <c r="J48" s="63"/>
      <c r="K48" s="58"/>
      <c r="L48" s="127"/>
      <c r="M48" s="58"/>
      <c r="N48" s="58"/>
      <c r="O48" s="58"/>
      <c r="P48" s="58"/>
      <c r="Q48" s="58">
        <f t="shared" si="9"/>
        <v>20000</v>
      </c>
    </row>
    <row r="49" spans="1:17" s="20" customFormat="1" ht="32.25">
      <c r="A49" s="15" t="s">
        <v>408</v>
      </c>
      <c r="B49" s="15" t="s">
        <v>409</v>
      </c>
      <c r="C49" s="15" t="s">
        <v>42</v>
      </c>
      <c r="D49" s="11" t="s">
        <v>410</v>
      </c>
      <c r="E49" s="58">
        <f t="shared" si="17"/>
        <v>1400000</v>
      </c>
      <c r="F49" s="59">
        <v>1400000</v>
      </c>
      <c r="G49" s="59"/>
      <c r="H49" s="59"/>
      <c r="I49" s="59"/>
      <c r="J49" s="59"/>
      <c r="K49" s="59"/>
      <c r="L49" s="129"/>
      <c r="M49" s="59"/>
      <c r="N49" s="59"/>
      <c r="O49" s="59"/>
      <c r="P49" s="59"/>
      <c r="Q49" s="58">
        <f t="shared" si="9"/>
        <v>1400000</v>
      </c>
    </row>
    <row r="50" spans="1:17" s="20" customFormat="1" ht="38.25" customHeight="1">
      <c r="A50" s="15" t="s">
        <v>377</v>
      </c>
      <c r="B50" s="15" t="s">
        <v>378</v>
      </c>
      <c r="C50" s="15" t="s">
        <v>35</v>
      </c>
      <c r="D50" s="11" t="s">
        <v>379</v>
      </c>
      <c r="E50" s="58">
        <f t="shared" si="17"/>
        <v>80500</v>
      </c>
      <c r="F50" s="59">
        <v>80500</v>
      </c>
      <c r="G50" s="59"/>
      <c r="H50" s="59"/>
      <c r="I50" s="59"/>
      <c r="J50" s="59"/>
      <c r="K50" s="59"/>
      <c r="L50" s="129"/>
      <c r="M50" s="59"/>
      <c r="N50" s="59"/>
      <c r="O50" s="59"/>
      <c r="P50" s="59"/>
      <c r="Q50" s="58">
        <f t="shared" si="9"/>
        <v>80500</v>
      </c>
    </row>
    <row r="51" spans="1:17" s="13" customFormat="1" ht="66" customHeight="1">
      <c r="A51" s="15" t="s">
        <v>225</v>
      </c>
      <c r="B51" s="15" t="s">
        <v>224</v>
      </c>
      <c r="C51" s="15" t="s">
        <v>32</v>
      </c>
      <c r="D51" s="11" t="s">
        <v>283</v>
      </c>
      <c r="E51" s="58">
        <f t="shared" si="17"/>
        <v>360800</v>
      </c>
      <c r="F51" s="58">
        <v>360800</v>
      </c>
      <c r="G51" s="58">
        <v>360800</v>
      </c>
      <c r="H51" s="58"/>
      <c r="I51" s="58"/>
      <c r="J51" s="58">
        <f>M51+P51</f>
        <v>0</v>
      </c>
      <c r="K51" s="58"/>
      <c r="L51" s="127"/>
      <c r="M51" s="58"/>
      <c r="N51" s="58"/>
      <c r="O51" s="58"/>
      <c r="P51" s="58"/>
      <c r="Q51" s="58">
        <f t="shared" si="9"/>
        <v>360800</v>
      </c>
    </row>
    <row r="52" spans="1:17" s="40" customFormat="1" ht="38.25" customHeight="1">
      <c r="A52" s="15" t="s">
        <v>134</v>
      </c>
      <c r="B52" s="15" t="s">
        <v>133</v>
      </c>
      <c r="C52" s="15" t="s">
        <v>42</v>
      </c>
      <c r="D52" s="11" t="s">
        <v>135</v>
      </c>
      <c r="E52" s="58">
        <f t="shared" si="17"/>
        <v>302000</v>
      </c>
      <c r="F52" s="59">
        <f>202000+100000</f>
        <v>302000</v>
      </c>
      <c r="G52" s="59">
        <f>202000</f>
        <v>202000</v>
      </c>
      <c r="H52" s="59"/>
      <c r="I52" s="59"/>
      <c r="J52" s="58">
        <f>M52+P52</f>
        <v>0</v>
      </c>
      <c r="K52" s="58"/>
      <c r="L52" s="127"/>
      <c r="M52" s="58"/>
      <c r="N52" s="58"/>
      <c r="O52" s="58"/>
      <c r="P52" s="58"/>
      <c r="Q52" s="58">
        <f t="shared" si="9"/>
        <v>302000</v>
      </c>
    </row>
    <row r="53" spans="1:17" s="13" customFormat="1" ht="63.75">
      <c r="A53" s="15" t="s">
        <v>380</v>
      </c>
      <c r="B53" s="15" t="s">
        <v>381</v>
      </c>
      <c r="C53" s="32" t="s">
        <v>30</v>
      </c>
      <c r="D53" s="11" t="s">
        <v>382</v>
      </c>
      <c r="E53" s="58">
        <f t="shared" si="17"/>
        <v>4166</v>
      </c>
      <c r="F53" s="59">
        <v>4166</v>
      </c>
      <c r="G53" s="59"/>
      <c r="H53" s="59"/>
      <c r="I53" s="59"/>
      <c r="J53" s="58"/>
      <c r="K53" s="58"/>
      <c r="L53" s="127"/>
      <c r="M53" s="58"/>
      <c r="N53" s="58"/>
      <c r="O53" s="58"/>
      <c r="P53" s="58"/>
      <c r="Q53" s="58">
        <f t="shared" si="9"/>
        <v>4166</v>
      </c>
    </row>
    <row r="54" spans="1:17" s="13" customFormat="1" ht="32.25">
      <c r="A54" s="15" t="s">
        <v>297</v>
      </c>
      <c r="B54" s="15" t="s">
        <v>293</v>
      </c>
      <c r="C54" s="15" t="s">
        <v>22</v>
      </c>
      <c r="D54" s="11" t="s">
        <v>294</v>
      </c>
      <c r="E54" s="58">
        <f t="shared" si="17"/>
        <v>437200</v>
      </c>
      <c r="F54" s="58">
        <v>437200</v>
      </c>
      <c r="G54" s="58"/>
      <c r="H54" s="58"/>
      <c r="I54" s="58"/>
      <c r="J54" s="58"/>
      <c r="K54" s="58"/>
      <c r="L54" s="127"/>
      <c r="M54" s="58"/>
      <c r="N54" s="58"/>
      <c r="O54" s="58"/>
      <c r="P54" s="58"/>
      <c r="Q54" s="58">
        <f>E54+J54</f>
        <v>437200</v>
      </c>
    </row>
    <row r="55" spans="1:17" s="38" customFormat="1" ht="32.25">
      <c r="A55" s="17" t="s">
        <v>139</v>
      </c>
      <c r="B55" s="17"/>
      <c r="C55" s="17"/>
      <c r="D55" s="18" t="s">
        <v>10</v>
      </c>
      <c r="E55" s="63">
        <f>E56</f>
        <v>782000</v>
      </c>
      <c r="F55" s="63">
        <f>F56</f>
        <v>782000</v>
      </c>
      <c r="G55" s="63">
        <f t="shared" ref="G55:Q55" si="18">G56</f>
        <v>-12400</v>
      </c>
      <c r="H55" s="63">
        <f t="shared" si="18"/>
        <v>0</v>
      </c>
      <c r="I55" s="63">
        <f t="shared" si="18"/>
        <v>0</v>
      </c>
      <c r="J55" s="63">
        <f>J56</f>
        <v>-1033700</v>
      </c>
      <c r="K55" s="63">
        <f t="shared" si="18"/>
        <v>-1033700</v>
      </c>
      <c r="L55" s="126">
        <f t="shared" si="18"/>
        <v>-1033700</v>
      </c>
      <c r="M55" s="63">
        <f t="shared" si="18"/>
        <v>0</v>
      </c>
      <c r="N55" s="63">
        <f t="shared" si="18"/>
        <v>0</v>
      </c>
      <c r="O55" s="63">
        <f t="shared" si="18"/>
        <v>0</v>
      </c>
      <c r="P55" s="63">
        <f t="shared" si="18"/>
        <v>-1033700</v>
      </c>
      <c r="Q55" s="63">
        <f t="shared" si="18"/>
        <v>-251700</v>
      </c>
    </row>
    <row r="56" spans="1:17" s="13" customFormat="1" ht="32.25">
      <c r="A56" s="17" t="s">
        <v>140</v>
      </c>
      <c r="B56" s="15"/>
      <c r="C56" s="15"/>
      <c r="D56" s="18" t="s">
        <v>10</v>
      </c>
      <c r="E56" s="63">
        <f>E57+E58+E59+E60+E61+E62+E63</f>
        <v>782000</v>
      </c>
      <c r="F56" s="63">
        <f t="shared" ref="F56:J56" si="19">F57+F58+F59+F60+F61+F62+F63</f>
        <v>782000</v>
      </c>
      <c r="G56" s="63">
        <f t="shared" si="19"/>
        <v>-12400</v>
      </c>
      <c r="H56" s="63">
        <f t="shared" si="19"/>
        <v>0</v>
      </c>
      <c r="I56" s="63">
        <f t="shared" si="19"/>
        <v>0</v>
      </c>
      <c r="J56" s="63">
        <f t="shared" si="19"/>
        <v>-1033700</v>
      </c>
      <c r="K56" s="63">
        <f t="shared" ref="K56:P56" si="20">K57+K59+K60+K61+K62+K63</f>
        <v>-1033700</v>
      </c>
      <c r="L56" s="63">
        <f t="shared" si="20"/>
        <v>-1033700</v>
      </c>
      <c r="M56" s="63">
        <f t="shared" si="20"/>
        <v>0</v>
      </c>
      <c r="N56" s="63">
        <f t="shared" si="20"/>
        <v>0</v>
      </c>
      <c r="O56" s="63">
        <f t="shared" si="20"/>
        <v>0</v>
      </c>
      <c r="P56" s="63">
        <f t="shared" si="20"/>
        <v>-1033700</v>
      </c>
      <c r="Q56" s="63">
        <f t="shared" ref="Q56:Q64" si="21">E56+J56</f>
        <v>-251700</v>
      </c>
    </row>
    <row r="57" spans="1:17" s="13" customFormat="1" ht="48">
      <c r="A57" s="15" t="s">
        <v>141</v>
      </c>
      <c r="B57" s="15" t="s">
        <v>110</v>
      </c>
      <c r="C57" s="15" t="s">
        <v>21</v>
      </c>
      <c r="D57" s="14" t="s">
        <v>112</v>
      </c>
      <c r="E57" s="58">
        <f>F57+I57</f>
        <v>7200</v>
      </c>
      <c r="F57" s="58">
        <v>7200</v>
      </c>
      <c r="G57" s="58">
        <v>7200</v>
      </c>
      <c r="H57" s="58"/>
      <c r="I57" s="58"/>
      <c r="J57" s="63"/>
      <c r="K57" s="58"/>
      <c r="L57" s="127"/>
      <c r="M57" s="58"/>
      <c r="N57" s="58"/>
      <c r="O57" s="58"/>
      <c r="P57" s="58"/>
      <c r="Q57" s="58">
        <f t="shared" si="21"/>
        <v>7200</v>
      </c>
    </row>
    <row r="58" spans="1:17" s="13" customFormat="1" ht="63.75">
      <c r="A58" s="15" t="s">
        <v>151</v>
      </c>
      <c r="B58" s="15" t="s">
        <v>150</v>
      </c>
      <c r="C58" s="15" t="s">
        <v>38</v>
      </c>
      <c r="D58" s="14" t="s">
        <v>152</v>
      </c>
      <c r="E58" s="58">
        <f t="shared" ref="E58" si="22">F58+I58</f>
        <v>-11600</v>
      </c>
      <c r="F58" s="58">
        <f>-19600+8000</f>
        <v>-11600</v>
      </c>
      <c r="G58" s="58">
        <v>-19600</v>
      </c>
      <c r="H58" s="58"/>
      <c r="I58" s="58"/>
      <c r="J58" s="58">
        <f>M58+P58</f>
        <v>0</v>
      </c>
      <c r="K58" s="59"/>
      <c r="L58" s="129"/>
      <c r="M58" s="59"/>
      <c r="N58" s="59"/>
      <c r="O58" s="59"/>
      <c r="P58" s="59"/>
      <c r="Q58" s="58">
        <f t="shared" si="21"/>
        <v>-11600</v>
      </c>
    </row>
    <row r="59" spans="1:17" s="13" customFormat="1" ht="18.75">
      <c r="A59" s="15" t="s">
        <v>143</v>
      </c>
      <c r="B59" s="15" t="s">
        <v>142</v>
      </c>
      <c r="C59" s="15" t="s">
        <v>83</v>
      </c>
      <c r="D59" s="11" t="s">
        <v>144</v>
      </c>
      <c r="E59" s="58">
        <f t="shared" ref="E59:E62" si="23">F59+I59</f>
        <v>71000</v>
      </c>
      <c r="F59" s="59">
        <f>65000+6000</f>
        <v>71000</v>
      </c>
      <c r="G59" s="59"/>
      <c r="H59" s="59"/>
      <c r="I59" s="59"/>
      <c r="J59" s="58">
        <f t="shared" ref="J59:J63" si="24">M59+P59</f>
        <v>40000</v>
      </c>
      <c r="K59" s="59">
        <v>40000</v>
      </c>
      <c r="L59" s="129">
        <v>40000</v>
      </c>
      <c r="M59" s="59"/>
      <c r="N59" s="59"/>
      <c r="O59" s="59"/>
      <c r="P59" s="59">
        <v>40000</v>
      </c>
      <c r="Q59" s="59">
        <f t="shared" si="21"/>
        <v>111000</v>
      </c>
    </row>
    <row r="60" spans="1:17" s="13" customFormat="1" ht="18.75">
      <c r="A60" s="15" t="s">
        <v>146</v>
      </c>
      <c r="B60" s="15" t="s">
        <v>145</v>
      </c>
      <c r="C60" s="15" t="s">
        <v>83</v>
      </c>
      <c r="D60" s="11" t="s">
        <v>147</v>
      </c>
      <c r="E60" s="58">
        <f t="shared" si="23"/>
        <v>41400</v>
      </c>
      <c r="F60" s="59">
        <f>40000+1400</f>
        <v>41400</v>
      </c>
      <c r="G60" s="59"/>
      <c r="H60" s="59"/>
      <c r="I60" s="59"/>
      <c r="J60" s="58">
        <f t="shared" si="24"/>
        <v>0</v>
      </c>
      <c r="K60" s="59"/>
      <c r="L60" s="129"/>
      <c r="M60" s="59"/>
      <c r="N60" s="59"/>
      <c r="O60" s="59"/>
      <c r="P60" s="59"/>
      <c r="Q60" s="59">
        <f t="shared" si="21"/>
        <v>41400</v>
      </c>
    </row>
    <row r="61" spans="1:17" s="13" customFormat="1" ht="48">
      <c r="A61" s="15" t="s">
        <v>148</v>
      </c>
      <c r="B61" s="15" t="s">
        <v>82</v>
      </c>
      <c r="C61" s="15" t="s">
        <v>84</v>
      </c>
      <c r="D61" s="11" t="s">
        <v>149</v>
      </c>
      <c r="E61" s="58">
        <f>F61+I61</f>
        <v>34000</v>
      </c>
      <c r="F61" s="59">
        <f>9800+20000+4200</f>
        <v>34000</v>
      </c>
      <c r="G61" s="59"/>
      <c r="H61" s="59"/>
      <c r="I61" s="59"/>
      <c r="J61" s="58">
        <f t="shared" si="24"/>
        <v>1400000</v>
      </c>
      <c r="K61" s="59">
        <v>1400000</v>
      </c>
      <c r="L61" s="129">
        <v>1400000</v>
      </c>
      <c r="M61" s="59"/>
      <c r="N61" s="59"/>
      <c r="O61" s="59"/>
      <c r="P61" s="59">
        <v>1400000</v>
      </c>
      <c r="Q61" s="59">
        <f t="shared" si="21"/>
        <v>1434000</v>
      </c>
    </row>
    <row r="62" spans="1:17" s="13" customFormat="1" ht="18.75">
      <c r="A62" s="15" t="s">
        <v>261</v>
      </c>
      <c r="B62" s="15" t="s">
        <v>262</v>
      </c>
      <c r="C62" s="15" t="s">
        <v>85</v>
      </c>
      <c r="D62" s="11" t="s">
        <v>265</v>
      </c>
      <c r="E62" s="58">
        <f t="shared" si="23"/>
        <v>640000</v>
      </c>
      <c r="F62" s="59">
        <v>640000</v>
      </c>
      <c r="G62" s="59"/>
      <c r="H62" s="59"/>
      <c r="I62" s="59"/>
      <c r="J62" s="58">
        <f t="shared" si="24"/>
        <v>0</v>
      </c>
      <c r="K62" s="59"/>
      <c r="L62" s="129"/>
      <c r="M62" s="59"/>
      <c r="N62" s="59"/>
      <c r="O62" s="59"/>
      <c r="P62" s="59"/>
      <c r="Q62" s="59">
        <f t="shared" si="21"/>
        <v>640000</v>
      </c>
    </row>
    <row r="63" spans="1:17" s="13" customFormat="1" ht="32.25">
      <c r="A63" s="15" t="s">
        <v>383</v>
      </c>
      <c r="B63" s="15" t="s">
        <v>266</v>
      </c>
      <c r="C63" s="15" t="s">
        <v>46</v>
      </c>
      <c r="D63" s="14" t="s">
        <v>233</v>
      </c>
      <c r="E63" s="58"/>
      <c r="F63" s="59"/>
      <c r="G63" s="59"/>
      <c r="H63" s="59"/>
      <c r="I63" s="59"/>
      <c r="J63" s="58">
        <f t="shared" si="24"/>
        <v>-2473700</v>
      </c>
      <c r="K63" s="59">
        <f>-1073700-1400000</f>
        <v>-2473700</v>
      </c>
      <c r="L63" s="129">
        <f>-1073700-1400000</f>
        <v>-2473700</v>
      </c>
      <c r="M63" s="59"/>
      <c r="N63" s="59"/>
      <c r="O63" s="59"/>
      <c r="P63" s="59">
        <f>-1073700-1400000</f>
        <v>-2473700</v>
      </c>
      <c r="Q63" s="59">
        <f t="shared" si="21"/>
        <v>-2473700</v>
      </c>
    </row>
    <row r="64" spans="1:17" s="38" customFormat="1" ht="48">
      <c r="A64" s="17" t="s">
        <v>158</v>
      </c>
      <c r="B64" s="17"/>
      <c r="C64" s="17"/>
      <c r="D64" s="18" t="s">
        <v>16</v>
      </c>
      <c r="E64" s="68">
        <f>E65</f>
        <v>2533065.4700000002</v>
      </c>
      <c r="F64" s="68">
        <f>F65</f>
        <v>2533065.4700000002</v>
      </c>
      <c r="G64" s="68">
        <f t="shared" ref="G64:P64" si="25">G65</f>
        <v>0</v>
      </c>
      <c r="H64" s="68">
        <f t="shared" si="25"/>
        <v>0</v>
      </c>
      <c r="I64" s="68">
        <f t="shared" si="25"/>
        <v>0</v>
      </c>
      <c r="J64" s="68">
        <f t="shared" si="25"/>
        <v>3282845</v>
      </c>
      <c r="K64" s="68">
        <f t="shared" si="25"/>
        <v>3282845</v>
      </c>
      <c r="L64" s="131">
        <f t="shared" si="25"/>
        <v>501565</v>
      </c>
      <c r="M64" s="68">
        <f t="shared" si="25"/>
        <v>0</v>
      </c>
      <c r="N64" s="68">
        <f t="shared" si="25"/>
        <v>0</v>
      </c>
      <c r="O64" s="68">
        <f t="shared" si="25"/>
        <v>0</v>
      </c>
      <c r="P64" s="68">
        <f t="shared" si="25"/>
        <v>3282845</v>
      </c>
      <c r="Q64" s="68">
        <f t="shared" si="21"/>
        <v>5815910.4700000007</v>
      </c>
    </row>
    <row r="65" spans="1:17" s="13" customFormat="1" ht="48">
      <c r="A65" s="17" t="s">
        <v>159</v>
      </c>
      <c r="B65" s="15"/>
      <c r="C65" s="15"/>
      <c r="D65" s="18" t="s">
        <v>16</v>
      </c>
      <c r="E65" s="63">
        <f>E66+E69+E70+E72</f>
        <v>2533065.4700000002</v>
      </c>
      <c r="F65" s="63">
        <f t="shared" ref="F65:I65" si="26">F66+F69+F70+F72</f>
        <v>2533065.4700000002</v>
      </c>
      <c r="G65" s="63">
        <f t="shared" si="26"/>
        <v>0</v>
      </c>
      <c r="H65" s="63">
        <f t="shared" si="26"/>
        <v>0</v>
      </c>
      <c r="I65" s="63">
        <f t="shared" si="26"/>
        <v>0</v>
      </c>
      <c r="J65" s="63">
        <f>J66+J67+J69+J70+J72</f>
        <v>3282845</v>
      </c>
      <c r="K65" s="63">
        <f t="shared" ref="K65:P65" si="27">K66+K67+K69+K70+K72</f>
        <v>3282845</v>
      </c>
      <c r="L65" s="63">
        <f t="shared" si="27"/>
        <v>501565</v>
      </c>
      <c r="M65" s="63">
        <f t="shared" si="27"/>
        <v>0</v>
      </c>
      <c r="N65" s="63">
        <f t="shared" si="27"/>
        <v>0</v>
      </c>
      <c r="O65" s="63">
        <f t="shared" si="27"/>
        <v>0</v>
      </c>
      <c r="P65" s="63">
        <f t="shared" si="27"/>
        <v>3282845</v>
      </c>
      <c r="Q65" s="68">
        <f>E65+J65</f>
        <v>5815910.4700000007</v>
      </c>
    </row>
    <row r="66" spans="1:17" s="13" customFormat="1" ht="48">
      <c r="A66" s="15" t="s">
        <v>160</v>
      </c>
      <c r="B66" s="15" t="s">
        <v>110</v>
      </c>
      <c r="C66" s="15" t="s">
        <v>21</v>
      </c>
      <c r="D66" s="14" t="s">
        <v>112</v>
      </c>
      <c r="E66" s="58">
        <f>F66+I66</f>
        <v>0</v>
      </c>
      <c r="F66" s="58"/>
      <c r="G66" s="58"/>
      <c r="H66" s="58"/>
      <c r="I66" s="58"/>
      <c r="J66" s="58">
        <f t="shared" ref="J66:J72" si="28">M66+P66</f>
        <v>-3435</v>
      </c>
      <c r="K66" s="58">
        <v>-3435</v>
      </c>
      <c r="L66" s="127">
        <v>-3435</v>
      </c>
      <c r="M66" s="58"/>
      <c r="N66" s="58"/>
      <c r="O66" s="58"/>
      <c r="P66" s="58">
        <v>-3435</v>
      </c>
      <c r="Q66" s="58">
        <f>E66+J66</f>
        <v>-3435</v>
      </c>
    </row>
    <row r="67" spans="1:17" s="13" customFormat="1" ht="32.25">
      <c r="A67" s="15" t="s">
        <v>176</v>
      </c>
      <c r="B67" s="15" t="s">
        <v>175</v>
      </c>
      <c r="C67" s="15" t="s">
        <v>86</v>
      </c>
      <c r="D67" s="11" t="s">
        <v>177</v>
      </c>
      <c r="E67" s="58">
        <f t="shared" ref="E67" si="29">F67+I67</f>
        <v>0</v>
      </c>
      <c r="F67" s="59"/>
      <c r="G67" s="58"/>
      <c r="H67" s="58"/>
      <c r="I67" s="58"/>
      <c r="J67" s="58">
        <f t="shared" si="28"/>
        <v>550213</v>
      </c>
      <c r="K67" s="58">
        <f>480000+100000+65213-95000</f>
        <v>550213</v>
      </c>
      <c r="L67" s="127">
        <f>480000</f>
        <v>480000</v>
      </c>
      <c r="M67" s="58"/>
      <c r="N67" s="58"/>
      <c r="O67" s="58"/>
      <c r="P67" s="58">
        <f>480000+100000+65213-95000</f>
        <v>550213</v>
      </c>
      <c r="Q67" s="58">
        <f>E67+J67</f>
        <v>550213</v>
      </c>
    </row>
    <row r="68" spans="1:17" s="25" customFormat="1" ht="63.75">
      <c r="A68" s="23"/>
      <c r="B68" s="23"/>
      <c r="C68" s="23"/>
      <c r="D68" s="24" t="s">
        <v>431</v>
      </c>
      <c r="E68" s="66"/>
      <c r="F68" s="66"/>
      <c r="G68" s="66"/>
      <c r="H68" s="66"/>
      <c r="I68" s="66"/>
      <c r="J68" s="66">
        <f>M68+P68</f>
        <v>480000</v>
      </c>
      <c r="K68" s="66">
        <v>480000</v>
      </c>
      <c r="L68" s="128">
        <v>480000</v>
      </c>
      <c r="M68" s="66"/>
      <c r="N68" s="66"/>
      <c r="O68" s="66"/>
      <c r="P68" s="66">
        <v>480000</v>
      </c>
      <c r="Q68" s="66">
        <f>E68+J68</f>
        <v>480000</v>
      </c>
    </row>
    <row r="69" spans="1:17" s="13" customFormat="1" ht="32.25">
      <c r="A69" s="15" t="s">
        <v>236</v>
      </c>
      <c r="B69" s="15" t="s">
        <v>235</v>
      </c>
      <c r="C69" s="15" t="s">
        <v>28</v>
      </c>
      <c r="D69" s="11" t="s">
        <v>237</v>
      </c>
      <c r="E69" s="58">
        <f>F69+I69</f>
        <v>2518065.4700000002</v>
      </c>
      <c r="F69" s="59">
        <v>2518065.4700000002</v>
      </c>
      <c r="G69" s="58"/>
      <c r="H69" s="58"/>
      <c r="I69" s="58"/>
      <c r="J69" s="58">
        <f t="shared" si="28"/>
        <v>0</v>
      </c>
      <c r="K69" s="58"/>
      <c r="L69" s="127"/>
      <c r="M69" s="58"/>
      <c r="N69" s="58"/>
      <c r="O69" s="58"/>
      <c r="P69" s="58"/>
      <c r="Q69" s="58">
        <f t="shared" ref="Q69:Q72" si="30">E69+J69</f>
        <v>2518065.4700000002</v>
      </c>
    </row>
    <row r="70" spans="1:17" s="13" customFormat="1" ht="19.5" customHeight="1">
      <c r="A70" s="15" t="s">
        <v>161</v>
      </c>
      <c r="B70" s="15" t="s">
        <v>87</v>
      </c>
      <c r="C70" s="15" t="s">
        <v>28</v>
      </c>
      <c r="D70" s="14" t="s">
        <v>107</v>
      </c>
      <c r="E70" s="58">
        <f t="shared" ref="E70:E71" si="31">F70+I70</f>
        <v>15000</v>
      </c>
      <c r="F70" s="58">
        <f>40000-25000</f>
        <v>15000</v>
      </c>
      <c r="G70" s="58"/>
      <c r="H70" s="58"/>
      <c r="I70" s="58"/>
      <c r="J70" s="58">
        <f t="shared" si="28"/>
        <v>175575</v>
      </c>
      <c r="K70" s="58">
        <f>-459212+600000+50000+80000-50000-100000+29787+25000</f>
        <v>175575</v>
      </c>
      <c r="L70" s="127">
        <v>25000</v>
      </c>
      <c r="M70" s="58"/>
      <c r="N70" s="58"/>
      <c r="O70" s="58"/>
      <c r="P70" s="58">
        <f>-459212+600000+50000+80000-50000-100000+29787+25000</f>
        <v>175575</v>
      </c>
      <c r="Q70" s="58">
        <f t="shared" si="30"/>
        <v>190575</v>
      </c>
    </row>
    <row r="71" spans="1:17" s="13" customFormat="1" ht="18.75" hidden="1">
      <c r="A71" s="15" t="s">
        <v>321</v>
      </c>
      <c r="B71" s="15" t="s">
        <v>186</v>
      </c>
      <c r="C71" s="15" t="s">
        <v>101</v>
      </c>
      <c r="D71" s="14" t="s">
        <v>188</v>
      </c>
      <c r="E71" s="58">
        <f t="shared" si="31"/>
        <v>0</v>
      </c>
      <c r="F71" s="58"/>
      <c r="G71" s="58"/>
      <c r="H71" s="58"/>
      <c r="I71" s="58"/>
      <c r="J71" s="58">
        <f t="shared" si="28"/>
        <v>0</v>
      </c>
      <c r="K71" s="58"/>
      <c r="L71" s="127"/>
      <c r="M71" s="58"/>
      <c r="N71" s="58"/>
      <c r="O71" s="58"/>
      <c r="P71" s="58"/>
      <c r="Q71" s="58">
        <f t="shared" si="30"/>
        <v>0</v>
      </c>
    </row>
    <row r="72" spans="1:17" s="13" customFormat="1" ht="18.75">
      <c r="A72" s="15" t="s">
        <v>234</v>
      </c>
      <c r="B72" s="15" t="s">
        <v>171</v>
      </c>
      <c r="C72" s="15" t="s">
        <v>26</v>
      </c>
      <c r="D72" s="11" t="s">
        <v>27</v>
      </c>
      <c r="E72" s="58">
        <f>F72+I72</f>
        <v>0</v>
      </c>
      <c r="F72" s="58"/>
      <c r="G72" s="58"/>
      <c r="H72" s="58"/>
      <c r="I72" s="58"/>
      <c r="J72" s="58">
        <f t="shared" si="28"/>
        <v>2560492</v>
      </c>
      <c r="K72" s="58">
        <f>2157847+640000-152023-85332</f>
        <v>2560492</v>
      </c>
      <c r="L72" s="127"/>
      <c r="M72" s="58"/>
      <c r="N72" s="58"/>
      <c r="O72" s="58"/>
      <c r="P72" s="58">
        <f>2157847+640000-152023-85332</f>
        <v>2560492</v>
      </c>
      <c r="Q72" s="58">
        <f t="shared" si="30"/>
        <v>2560492</v>
      </c>
    </row>
    <row r="73" spans="1:17" s="38" customFormat="1" ht="54" customHeight="1">
      <c r="A73" s="17" t="s">
        <v>54</v>
      </c>
      <c r="B73" s="17"/>
      <c r="C73" s="17"/>
      <c r="D73" s="18" t="s">
        <v>20</v>
      </c>
      <c r="E73" s="63">
        <f>E74</f>
        <v>0</v>
      </c>
      <c r="F73" s="63">
        <f>F74</f>
        <v>0</v>
      </c>
      <c r="G73" s="63">
        <f t="shared" ref="G73:Q73" si="32">G74</f>
        <v>0</v>
      </c>
      <c r="H73" s="63">
        <f t="shared" si="32"/>
        <v>0</v>
      </c>
      <c r="I73" s="63">
        <f t="shared" si="32"/>
        <v>0</v>
      </c>
      <c r="J73" s="63">
        <f t="shared" si="32"/>
        <v>-510022</v>
      </c>
      <c r="K73" s="63">
        <f t="shared" si="32"/>
        <v>-510022</v>
      </c>
      <c r="L73" s="126">
        <f t="shared" si="32"/>
        <v>-22</v>
      </c>
      <c r="M73" s="63">
        <f t="shared" si="32"/>
        <v>0</v>
      </c>
      <c r="N73" s="63">
        <f t="shared" si="32"/>
        <v>0</v>
      </c>
      <c r="O73" s="63">
        <f t="shared" si="32"/>
        <v>0</v>
      </c>
      <c r="P73" s="63">
        <f t="shared" si="32"/>
        <v>-510022</v>
      </c>
      <c r="Q73" s="63">
        <f t="shared" si="32"/>
        <v>-510022</v>
      </c>
    </row>
    <row r="74" spans="1:17" s="13" customFormat="1" ht="54.75" customHeight="1">
      <c r="A74" s="17" t="s">
        <v>55</v>
      </c>
      <c r="B74" s="15"/>
      <c r="C74" s="15"/>
      <c r="D74" s="18" t="s">
        <v>20</v>
      </c>
      <c r="E74" s="63">
        <f>E75+E76</f>
        <v>0</v>
      </c>
      <c r="F74" s="63">
        <f t="shared" ref="F74:P74" si="33">F75+F76</f>
        <v>0</v>
      </c>
      <c r="G74" s="63">
        <f t="shared" si="33"/>
        <v>0</v>
      </c>
      <c r="H74" s="63">
        <f t="shared" si="33"/>
        <v>0</v>
      </c>
      <c r="I74" s="63">
        <f t="shared" si="33"/>
        <v>0</v>
      </c>
      <c r="J74" s="63">
        <f t="shared" si="33"/>
        <v>-510022</v>
      </c>
      <c r="K74" s="63">
        <f t="shared" si="33"/>
        <v>-510022</v>
      </c>
      <c r="L74" s="63">
        <f t="shared" si="33"/>
        <v>-22</v>
      </c>
      <c r="M74" s="63">
        <f t="shared" si="33"/>
        <v>0</v>
      </c>
      <c r="N74" s="63">
        <f t="shared" si="33"/>
        <v>0</v>
      </c>
      <c r="O74" s="63">
        <f t="shared" si="33"/>
        <v>0</v>
      </c>
      <c r="P74" s="63">
        <f t="shared" si="33"/>
        <v>-510022</v>
      </c>
      <c r="Q74" s="63">
        <f t="shared" ref="Q74:Q85" si="34">E74+J74</f>
        <v>-510022</v>
      </c>
    </row>
    <row r="75" spans="1:17" s="13" customFormat="1" ht="55.5" customHeight="1">
      <c r="A75" s="15" t="s">
        <v>162</v>
      </c>
      <c r="B75" s="15" t="s">
        <v>110</v>
      </c>
      <c r="C75" s="15" t="s">
        <v>21</v>
      </c>
      <c r="D75" s="14" t="s">
        <v>112</v>
      </c>
      <c r="E75" s="58">
        <f>F75+I75</f>
        <v>0</v>
      </c>
      <c r="F75" s="58"/>
      <c r="G75" s="58"/>
      <c r="H75" s="58"/>
      <c r="I75" s="58"/>
      <c r="J75" s="58">
        <f t="shared" ref="J75:J76" si="35">M75+P75</f>
        <v>-22</v>
      </c>
      <c r="K75" s="58">
        <v>-22</v>
      </c>
      <c r="L75" s="127">
        <v>-22</v>
      </c>
      <c r="M75" s="58"/>
      <c r="N75" s="58"/>
      <c r="O75" s="58"/>
      <c r="P75" s="58">
        <v>-22</v>
      </c>
      <c r="Q75" s="58">
        <f t="shared" si="34"/>
        <v>-22</v>
      </c>
    </row>
    <row r="76" spans="1:17" s="13" customFormat="1" ht="43.5" customHeight="1">
      <c r="A76" s="15" t="s">
        <v>268</v>
      </c>
      <c r="B76" s="15" t="s">
        <v>266</v>
      </c>
      <c r="C76" s="15" t="s">
        <v>46</v>
      </c>
      <c r="D76" s="14" t="s">
        <v>233</v>
      </c>
      <c r="E76" s="58">
        <f t="shared" ref="E76" si="36">F76+I76</f>
        <v>0</v>
      </c>
      <c r="F76" s="58"/>
      <c r="G76" s="58"/>
      <c r="H76" s="58"/>
      <c r="I76" s="58"/>
      <c r="J76" s="58">
        <f t="shared" si="35"/>
        <v>-510000</v>
      </c>
      <c r="K76" s="58">
        <f>950000+540000-2000000</f>
        <v>-510000</v>
      </c>
      <c r="L76" s="127"/>
      <c r="M76" s="58"/>
      <c r="N76" s="58"/>
      <c r="O76" s="58"/>
      <c r="P76" s="58">
        <f>950000+540000-2000000</f>
        <v>-510000</v>
      </c>
      <c r="Q76" s="58">
        <f t="shared" si="34"/>
        <v>-510000</v>
      </c>
    </row>
    <row r="77" spans="1:17" s="13" customFormat="1" ht="54" customHeight="1">
      <c r="A77" s="17" t="s">
        <v>163</v>
      </c>
      <c r="B77" s="17"/>
      <c r="C77" s="17"/>
      <c r="D77" s="18" t="s">
        <v>17</v>
      </c>
      <c r="E77" s="63">
        <f>E78</f>
        <v>99200</v>
      </c>
      <c r="F77" s="63">
        <f>F78</f>
        <v>99200</v>
      </c>
      <c r="G77" s="63">
        <f t="shared" ref="G77:Q77" si="37">G78</f>
        <v>99200</v>
      </c>
      <c r="H77" s="63">
        <f t="shared" si="37"/>
        <v>0</v>
      </c>
      <c r="I77" s="63">
        <f t="shared" si="37"/>
        <v>0</v>
      </c>
      <c r="J77" s="63">
        <f t="shared" si="37"/>
        <v>144618</v>
      </c>
      <c r="K77" s="63">
        <f t="shared" si="37"/>
        <v>144618</v>
      </c>
      <c r="L77" s="126">
        <f t="shared" si="37"/>
        <v>144618</v>
      </c>
      <c r="M77" s="63">
        <f t="shared" si="37"/>
        <v>0</v>
      </c>
      <c r="N77" s="63">
        <f t="shared" si="37"/>
        <v>0</v>
      </c>
      <c r="O77" s="63">
        <f t="shared" si="37"/>
        <v>0</v>
      </c>
      <c r="P77" s="63">
        <f t="shared" si="37"/>
        <v>144618</v>
      </c>
      <c r="Q77" s="63">
        <f t="shared" si="37"/>
        <v>243818</v>
      </c>
    </row>
    <row r="78" spans="1:17" s="13" customFormat="1" ht="53.25" customHeight="1">
      <c r="A78" s="17" t="s">
        <v>164</v>
      </c>
      <c r="B78" s="15"/>
      <c r="C78" s="15"/>
      <c r="D78" s="18" t="s">
        <v>17</v>
      </c>
      <c r="E78" s="63">
        <f>E79+E80</f>
        <v>99200</v>
      </c>
      <c r="F78" s="63">
        <f t="shared" ref="F78:P78" si="38">F79+F80</f>
        <v>99200</v>
      </c>
      <c r="G78" s="63">
        <f t="shared" si="38"/>
        <v>99200</v>
      </c>
      <c r="H78" s="63">
        <f t="shared" si="38"/>
        <v>0</v>
      </c>
      <c r="I78" s="63">
        <f t="shared" si="38"/>
        <v>0</v>
      </c>
      <c r="J78" s="63">
        <f t="shared" si="38"/>
        <v>144618</v>
      </c>
      <c r="K78" s="63">
        <f t="shared" si="38"/>
        <v>144618</v>
      </c>
      <c r="L78" s="63">
        <f t="shared" si="38"/>
        <v>144618</v>
      </c>
      <c r="M78" s="63">
        <f t="shared" si="38"/>
        <v>0</v>
      </c>
      <c r="N78" s="63">
        <f t="shared" si="38"/>
        <v>0</v>
      </c>
      <c r="O78" s="63">
        <f t="shared" si="38"/>
        <v>0</v>
      </c>
      <c r="P78" s="63">
        <f t="shared" si="38"/>
        <v>144618</v>
      </c>
      <c r="Q78" s="63">
        <f t="shared" ref="Q78:Q79" si="39">E78+J78</f>
        <v>243818</v>
      </c>
    </row>
    <row r="79" spans="1:17" s="13" customFormat="1" ht="54" customHeight="1">
      <c r="A79" s="15" t="s">
        <v>165</v>
      </c>
      <c r="B79" s="15" t="s">
        <v>110</v>
      </c>
      <c r="C79" s="15" t="s">
        <v>21</v>
      </c>
      <c r="D79" s="14" t="s">
        <v>112</v>
      </c>
      <c r="E79" s="58">
        <f t="shared" ref="E79" si="40">F79+I79</f>
        <v>99200</v>
      </c>
      <c r="F79" s="58">
        <f>99200</f>
        <v>99200</v>
      </c>
      <c r="G79" s="58">
        <v>99200</v>
      </c>
      <c r="H79" s="58"/>
      <c r="I79" s="58"/>
      <c r="J79" s="58">
        <f>M79+P79</f>
        <v>-5382</v>
      </c>
      <c r="K79" s="58">
        <v>-5382</v>
      </c>
      <c r="L79" s="127">
        <v>-5382</v>
      </c>
      <c r="M79" s="58"/>
      <c r="N79" s="58"/>
      <c r="O79" s="58"/>
      <c r="P79" s="58">
        <v>-5382</v>
      </c>
      <c r="Q79" s="58">
        <f t="shared" si="39"/>
        <v>93818</v>
      </c>
    </row>
    <row r="80" spans="1:17" s="13" customFormat="1" ht="37.5" customHeight="1">
      <c r="A80" s="15" t="s">
        <v>394</v>
      </c>
      <c r="B80" s="15" t="s">
        <v>271</v>
      </c>
      <c r="C80" s="15" t="s">
        <v>46</v>
      </c>
      <c r="D80" s="14" t="s">
        <v>273</v>
      </c>
      <c r="E80" s="58">
        <f>F80+I80</f>
        <v>0</v>
      </c>
      <c r="F80" s="58"/>
      <c r="G80" s="58"/>
      <c r="H80" s="58"/>
      <c r="I80" s="58"/>
      <c r="J80" s="58">
        <f t="shared" ref="J80" si="41">M80+P80</f>
        <v>150000</v>
      </c>
      <c r="K80" s="58">
        <v>150000</v>
      </c>
      <c r="L80" s="127">
        <v>150000</v>
      </c>
      <c r="M80" s="58"/>
      <c r="N80" s="58"/>
      <c r="O80" s="58"/>
      <c r="P80" s="58">
        <v>150000</v>
      </c>
      <c r="Q80" s="58">
        <f>E80+J80</f>
        <v>150000</v>
      </c>
    </row>
    <row r="81" spans="1:17" s="38" customFormat="1" ht="32.25">
      <c r="A81" s="17" t="s">
        <v>166</v>
      </c>
      <c r="B81" s="17"/>
      <c r="C81" s="17"/>
      <c r="D81" s="18" t="s">
        <v>11</v>
      </c>
      <c r="E81" s="63">
        <f>E82</f>
        <v>-128298</v>
      </c>
      <c r="F81" s="63">
        <f>F82</f>
        <v>-128298</v>
      </c>
      <c r="G81" s="63">
        <f t="shared" ref="G81:Q81" si="42">G82</f>
        <v>19700</v>
      </c>
      <c r="H81" s="63">
        <f t="shared" si="42"/>
        <v>0</v>
      </c>
      <c r="I81" s="63">
        <f t="shared" si="42"/>
        <v>0</v>
      </c>
      <c r="J81" s="63">
        <f t="shared" si="42"/>
        <v>510818</v>
      </c>
      <c r="K81" s="63">
        <f t="shared" si="42"/>
        <v>510818</v>
      </c>
      <c r="L81" s="126">
        <f t="shared" si="42"/>
        <v>532098</v>
      </c>
      <c r="M81" s="63">
        <f t="shared" si="42"/>
        <v>0</v>
      </c>
      <c r="N81" s="63">
        <f t="shared" si="42"/>
        <v>0</v>
      </c>
      <c r="O81" s="63">
        <f t="shared" si="42"/>
        <v>0</v>
      </c>
      <c r="P81" s="63">
        <f t="shared" si="42"/>
        <v>510818</v>
      </c>
      <c r="Q81" s="63">
        <f t="shared" si="42"/>
        <v>382520</v>
      </c>
    </row>
    <row r="82" spans="1:17" s="13" customFormat="1" ht="32.25">
      <c r="A82" s="17" t="s">
        <v>167</v>
      </c>
      <c r="B82" s="15"/>
      <c r="C82" s="15"/>
      <c r="D82" s="18" t="s">
        <v>11</v>
      </c>
      <c r="E82" s="63">
        <f>E83+E84+E85+E86</f>
        <v>-128298</v>
      </c>
      <c r="F82" s="63">
        <f t="shared" ref="F82:P82" si="43">F83+F84+F85+F86</f>
        <v>-128298</v>
      </c>
      <c r="G82" s="63">
        <f t="shared" si="43"/>
        <v>19700</v>
      </c>
      <c r="H82" s="63">
        <f t="shared" si="43"/>
        <v>0</v>
      </c>
      <c r="I82" s="63">
        <f t="shared" si="43"/>
        <v>0</v>
      </c>
      <c r="J82" s="63">
        <f t="shared" si="43"/>
        <v>510818</v>
      </c>
      <c r="K82" s="63">
        <f t="shared" si="43"/>
        <v>510818</v>
      </c>
      <c r="L82" s="63">
        <f t="shared" si="43"/>
        <v>532098</v>
      </c>
      <c r="M82" s="63">
        <f t="shared" si="43"/>
        <v>0</v>
      </c>
      <c r="N82" s="63">
        <f t="shared" si="43"/>
        <v>0</v>
      </c>
      <c r="O82" s="63">
        <f t="shared" si="43"/>
        <v>0</v>
      </c>
      <c r="P82" s="63">
        <f t="shared" si="43"/>
        <v>510818</v>
      </c>
      <c r="Q82" s="63">
        <f t="shared" si="34"/>
        <v>382520</v>
      </c>
    </row>
    <row r="83" spans="1:17" s="13" customFormat="1" ht="48">
      <c r="A83" s="15" t="s">
        <v>168</v>
      </c>
      <c r="B83" s="15" t="s">
        <v>110</v>
      </c>
      <c r="C83" s="15" t="s">
        <v>21</v>
      </c>
      <c r="D83" s="14" t="s">
        <v>112</v>
      </c>
      <c r="E83" s="58">
        <f>F83+I83</f>
        <v>41502</v>
      </c>
      <c r="F83" s="58">
        <f>19002+19700+2800</f>
        <v>41502</v>
      </c>
      <c r="G83" s="58">
        <v>19700</v>
      </c>
      <c r="H83" s="58"/>
      <c r="I83" s="58"/>
      <c r="J83" s="58">
        <f>M83+P83</f>
        <v>-19002</v>
      </c>
      <c r="K83" s="58">
        <v>-19002</v>
      </c>
      <c r="L83" s="127">
        <v>-19002</v>
      </c>
      <c r="M83" s="58"/>
      <c r="N83" s="58"/>
      <c r="O83" s="58"/>
      <c r="P83" s="58">
        <v>-19002</v>
      </c>
      <c r="Q83" s="58">
        <f t="shared" si="34"/>
        <v>22500</v>
      </c>
    </row>
    <row r="84" spans="1:17" s="13" customFormat="1" ht="18.75">
      <c r="A84" s="15" t="s">
        <v>189</v>
      </c>
      <c r="B84" s="15" t="s">
        <v>29</v>
      </c>
      <c r="C84" s="15" t="s">
        <v>25</v>
      </c>
      <c r="D84" s="14" t="s">
        <v>182</v>
      </c>
      <c r="E84" s="58">
        <f>F84+I84</f>
        <v>-62800</v>
      </c>
      <c r="F84" s="58">
        <v>-62800</v>
      </c>
      <c r="G84" s="58"/>
      <c r="H84" s="58"/>
      <c r="I84" s="58"/>
      <c r="J84" s="58">
        <f>M84+P84</f>
        <v>-177180</v>
      </c>
      <c r="K84" s="58">
        <f>-1698635-155900-572645+2250000</f>
        <v>-177180</v>
      </c>
      <c r="L84" s="127">
        <v>-155900</v>
      </c>
      <c r="M84" s="58"/>
      <c r="N84" s="58"/>
      <c r="O84" s="58"/>
      <c r="P84" s="58">
        <f>-1698635-155900-572645+2250000</f>
        <v>-177180</v>
      </c>
      <c r="Q84" s="58">
        <f t="shared" si="34"/>
        <v>-239980</v>
      </c>
    </row>
    <row r="85" spans="1:17" s="13" customFormat="1" ht="18.75">
      <c r="A85" s="15" t="s">
        <v>324</v>
      </c>
      <c r="B85" s="15" t="s">
        <v>322</v>
      </c>
      <c r="C85" s="15" t="s">
        <v>29</v>
      </c>
      <c r="D85" s="37" t="s">
        <v>323</v>
      </c>
      <c r="E85" s="58"/>
      <c r="F85" s="58"/>
      <c r="G85" s="58"/>
      <c r="H85" s="58"/>
      <c r="I85" s="58"/>
      <c r="J85" s="58">
        <f>P85</f>
        <v>300000</v>
      </c>
      <c r="K85" s="58">
        <v>300000</v>
      </c>
      <c r="L85" s="127">
        <v>300000</v>
      </c>
      <c r="M85" s="58"/>
      <c r="N85" s="58"/>
      <c r="O85" s="58"/>
      <c r="P85" s="58">
        <v>300000</v>
      </c>
      <c r="Q85" s="58">
        <f t="shared" si="34"/>
        <v>300000</v>
      </c>
    </row>
    <row r="86" spans="1:17" s="13" customFormat="1" ht="48">
      <c r="A86" s="15" t="s">
        <v>314</v>
      </c>
      <c r="B86" s="15" t="s">
        <v>311</v>
      </c>
      <c r="C86" s="15" t="s">
        <v>29</v>
      </c>
      <c r="D86" s="14" t="s">
        <v>312</v>
      </c>
      <c r="E86" s="58">
        <f>E88+E89+E90</f>
        <v>-107000</v>
      </c>
      <c r="F86" s="58">
        <f t="shared" ref="F86:P86" si="44">F88+F89+F90</f>
        <v>-107000</v>
      </c>
      <c r="G86" s="58">
        <f t="shared" si="44"/>
        <v>0</v>
      </c>
      <c r="H86" s="58">
        <f t="shared" si="44"/>
        <v>0</v>
      </c>
      <c r="I86" s="58">
        <f t="shared" si="44"/>
        <v>0</v>
      </c>
      <c r="J86" s="58">
        <f t="shared" si="44"/>
        <v>407000</v>
      </c>
      <c r="K86" s="58">
        <f t="shared" si="44"/>
        <v>407000</v>
      </c>
      <c r="L86" s="58">
        <f t="shared" si="44"/>
        <v>407000</v>
      </c>
      <c r="M86" s="58">
        <f t="shared" si="44"/>
        <v>0</v>
      </c>
      <c r="N86" s="58">
        <f t="shared" si="44"/>
        <v>0</v>
      </c>
      <c r="O86" s="58">
        <f t="shared" si="44"/>
        <v>0</v>
      </c>
      <c r="P86" s="58">
        <f t="shared" si="44"/>
        <v>407000</v>
      </c>
      <c r="Q86" s="58">
        <f>J86+E86</f>
        <v>300000</v>
      </c>
    </row>
    <row r="87" spans="1:17" s="13" customFormat="1" ht="18.75">
      <c r="A87" s="15"/>
      <c r="B87" s="15"/>
      <c r="C87" s="15"/>
      <c r="D87" s="36" t="s">
        <v>319</v>
      </c>
      <c r="E87" s="58"/>
      <c r="F87" s="58"/>
      <c r="G87" s="58"/>
      <c r="H87" s="58"/>
      <c r="I87" s="58"/>
      <c r="J87" s="58"/>
      <c r="K87" s="58"/>
      <c r="L87" s="127"/>
      <c r="M87" s="58"/>
      <c r="N87" s="58"/>
      <c r="O87" s="58"/>
      <c r="P87" s="58"/>
      <c r="Q87" s="58"/>
    </row>
    <row r="88" spans="1:17" s="13" customFormat="1" ht="84.75" customHeight="1">
      <c r="A88" s="15"/>
      <c r="B88" s="15"/>
      <c r="C88" s="15"/>
      <c r="D88" s="36" t="s">
        <v>351</v>
      </c>
      <c r="E88" s="58">
        <f t="shared" ref="E88" si="45">F88+I88</f>
        <v>7000</v>
      </c>
      <c r="F88" s="58">
        <v>7000</v>
      </c>
      <c r="G88" s="58"/>
      <c r="H88" s="58"/>
      <c r="I88" s="58"/>
      <c r="J88" s="58">
        <f t="shared" ref="J88:J90" si="46">M88+P88</f>
        <v>-7000</v>
      </c>
      <c r="K88" s="58">
        <v>-7000</v>
      </c>
      <c r="L88" s="127">
        <v>-7000</v>
      </c>
      <c r="M88" s="58"/>
      <c r="N88" s="58"/>
      <c r="O88" s="58"/>
      <c r="P88" s="58">
        <v>-7000</v>
      </c>
      <c r="Q88" s="58">
        <f t="shared" ref="Q88" si="47">J88+E88</f>
        <v>0</v>
      </c>
    </row>
    <row r="89" spans="1:17" s="13" customFormat="1" ht="102" customHeight="1">
      <c r="A89" s="15"/>
      <c r="B89" s="15"/>
      <c r="C89" s="15"/>
      <c r="D89" s="36" t="s">
        <v>350</v>
      </c>
      <c r="E89" s="58">
        <f>F89</f>
        <v>20000</v>
      </c>
      <c r="F89" s="58">
        <v>20000</v>
      </c>
      <c r="G89" s="58"/>
      <c r="H89" s="58"/>
      <c r="I89" s="58"/>
      <c r="J89" s="58">
        <f t="shared" si="46"/>
        <v>280000</v>
      </c>
      <c r="K89" s="58">
        <v>280000</v>
      </c>
      <c r="L89" s="127">
        <v>280000</v>
      </c>
      <c r="M89" s="58"/>
      <c r="N89" s="58"/>
      <c r="O89" s="58"/>
      <c r="P89" s="58">
        <v>280000</v>
      </c>
      <c r="Q89" s="58">
        <f>E89+J89</f>
        <v>300000</v>
      </c>
    </row>
    <row r="90" spans="1:17" s="13" customFormat="1" ht="33.75" customHeight="1">
      <c r="A90" s="15"/>
      <c r="B90" s="15"/>
      <c r="C90" s="15"/>
      <c r="D90" s="36" t="s">
        <v>347</v>
      </c>
      <c r="E90" s="58">
        <f t="shared" ref="E90" si="48">F90+I90</f>
        <v>-134000</v>
      </c>
      <c r="F90" s="58">
        <v>-134000</v>
      </c>
      <c r="G90" s="58"/>
      <c r="H90" s="58"/>
      <c r="I90" s="58"/>
      <c r="J90" s="58">
        <f t="shared" si="46"/>
        <v>134000</v>
      </c>
      <c r="K90" s="58">
        <v>134000</v>
      </c>
      <c r="L90" s="127">
        <v>134000</v>
      </c>
      <c r="M90" s="58"/>
      <c r="N90" s="58"/>
      <c r="O90" s="58"/>
      <c r="P90" s="58">
        <v>134000</v>
      </c>
      <c r="Q90" s="58">
        <f t="shared" ref="Q90" si="49">J90+E90</f>
        <v>0</v>
      </c>
    </row>
    <row r="91" spans="1:17" s="13" customFormat="1" ht="18.75">
      <c r="A91" s="15"/>
      <c r="B91" s="15"/>
      <c r="C91" s="15"/>
      <c r="D91" s="36"/>
      <c r="E91" s="58"/>
      <c r="F91" s="58"/>
      <c r="G91" s="58"/>
      <c r="H91" s="58"/>
      <c r="I91" s="58"/>
      <c r="J91" s="58"/>
      <c r="K91" s="58"/>
      <c r="L91" s="127"/>
      <c r="M91" s="58"/>
      <c r="N91" s="58"/>
      <c r="O91" s="58"/>
      <c r="P91" s="58"/>
      <c r="Q91" s="58"/>
    </row>
    <row r="92" spans="1:17" s="13" customFormat="1" ht="18.75">
      <c r="A92" s="15"/>
      <c r="B92" s="15"/>
      <c r="C92" s="15"/>
      <c r="D92" s="27" t="s">
        <v>6</v>
      </c>
      <c r="E92" s="63">
        <f t="shared" ref="E92:P92" si="50">E12+E26+E43+E55+E64+E73+E77+E81</f>
        <v>6307166.4700000007</v>
      </c>
      <c r="F92" s="63">
        <f t="shared" si="50"/>
        <v>6307166.4700000007</v>
      </c>
      <c r="G92" s="63">
        <f t="shared" si="50"/>
        <v>552039</v>
      </c>
      <c r="H92" s="63">
        <f t="shared" si="50"/>
        <v>-728000</v>
      </c>
      <c r="I92" s="63">
        <f t="shared" si="50"/>
        <v>0</v>
      </c>
      <c r="J92" s="63">
        <f t="shared" si="50"/>
        <v>-1466684.9900000002</v>
      </c>
      <c r="K92" s="63">
        <f t="shared" si="50"/>
        <v>2703801</v>
      </c>
      <c r="L92" s="63">
        <f t="shared" si="50"/>
        <v>453801</v>
      </c>
      <c r="M92" s="63">
        <f t="shared" si="50"/>
        <v>-4170485.99</v>
      </c>
      <c r="N92" s="63">
        <f t="shared" si="50"/>
        <v>0</v>
      </c>
      <c r="O92" s="63">
        <f t="shared" si="50"/>
        <v>0</v>
      </c>
      <c r="P92" s="63">
        <f t="shared" si="50"/>
        <v>2703801</v>
      </c>
      <c r="Q92" s="63">
        <f>E92+J92</f>
        <v>4840481.4800000004</v>
      </c>
    </row>
    <row r="93" spans="1:17" s="13" customFormat="1" ht="15.75">
      <c r="A93" s="28"/>
      <c r="B93" s="28"/>
      <c r="C93" s="28"/>
      <c r="D93" s="29"/>
      <c r="E93" s="29"/>
      <c r="F93" s="29"/>
      <c r="G93" s="29"/>
      <c r="H93" s="29"/>
      <c r="I93" s="29"/>
      <c r="K93" s="30"/>
      <c r="L93" s="134"/>
      <c r="N93" s="30"/>
      <c r="O93" s="30"/>
      <c r="P93" s="30"/>
      <c r="Q93" s="30"/>
    </row>
    <row r="94" spans="1:17" s="140" customFormat="1" ht="18.75">
      <c r="D94" s="146" t="s">
        <v>433</v>
      </c>
      <c r="E94" s="141"/>
      <c r="F94" s="141"/>
      <c r="G94" s="141"/>
      <c r="H94" s="142"/>
      <c r="K94" s="143"/>
      <c r="L94" s="144"/>
      <c r="M94" s="146" t="s">
        <v>434</v>
      </c>
      <c r="N94" s="143"/>
      <c r="O94" s="143"/>
      <c r="P94" s="143"/>
      <c r="Q94" s="143"/>
    </row>
    <row r="95" spans="1:17" s="140" customFormat="1" ht="18.75">
      <c r="A95" s="140" t="s">
        <v>395</v>
      </c>
      <c r="B95" s="141"/>
      <c r="C95" s="141"/>
      <c r="L95" s="145"/>
    </row>
    <row r="96" spans="1:17">
      <c r="D96" s="4" t="s">
        <v>424</v>
      </c>
      <c r="E96" s="112">
        <f>'[1]зміни червень'!$D$73</f>
        <v>6307166.4700000007</v>
      </c>
      <c r="F96" s="112">
        <f>'[1]зміни червень'!$E$73</f>
        <v>6307166.4700000007</v>
      </c>
      <c r="G96" s="112">
        <f>'[1]зміни червень'!$F$73</f>
        <v>552039</v>
      </c>
      <c r="H96" s="112">
        <f>'[1]зміни червень'!$G$73</f>
        <v>-728000</v>
      </c>
      <c r="I96" s="112">
        <f>'[1]зміни червень'!$H$73</f>
        <v>0</v>
      </c>
      <c r="J96" s="112">
        <f>'[1]зміни червень'!$I$73</f>
        <v>-1466684.9900000002</v>
      </c>
      <c r="K96" s="112">
        <f>'[1]зміни червень'!$J$73</f>
        <v>2703801</v>
      </c>
      <c r="L96" s="112">
        <f>'[1]зміни червень'!$K$73</f>
        <v>453801</v>
      </c>
      <c r="M96" s="112">
        <f>'[1]зміни червень'!$L$73</f>
        <v>-4170485.99</v>
      </c>
      <c r="N96" s="112">
        <f>'[1]зміни червень'!$M$73</f>
        <v>0</v>
      </c>
      <c r="O96" s="112">
        <f>'[1]зміни червень'!$N$73</f>
        <v>0</v>
      </c>
      <c r="P96" s="112">
        <f>'[1]зміни червень'!$O$73</f>
        <v>2703801</v>
      </c>
      <c r="Q96" s="112">
        <f>'[1]зміни червень'!$P$73</f>
        <v>4840481.4800000004</v>
      </c>
    </row>
    <row r="97" spans="5:17">
      <c r="E97" s="112">
        <f t="shared" ref="E97:Q97" si="51">E92-E96</f>
        <v>0</v>
      </c>
      <c r="F97" s="112">
        <f t="shared" si="51"/>
        <v>0</v>
      </c>
      <c r="G97" s="112">
        <f t="shared" si="51"/>
        <v>0</v>
      </c>
      <c r="H97" s="112">
        <f t="shared" si="51"/>
        <v>0</v>
      </c>
      <c r="I97" s="112">
        <f>I92-I96</f>
        <v>0</v>
      </c>
      <c r="J97" s="112">
        <f>J92-J96</f>
        <v>0</v>
      </c>
      <c r="K97" s="112">
        <f t="shared" si="51"/>
        <v>0</v>
      </c>
      <c r="L97" s="112">
        <f t="shared" si="51"/>
        <v>0</v>
      </c>
      <c r="M97" s="112">
        <f t="shared" si="51"/>
        <v>0</v>
      </c>
      <c r="N97" s="112">
        <f t="shared" si="51"/>
        <v>0</v>
      </c>
      <c r="O97" s="112">
        <f t="shared" si="51"/>
        <v>0</v>
      </c>
      <c r="P97" s="112">
        <f t="shared" si="51"/>
        <v>0</v>
      </c>
      <c r="Q97" s="112">
        <f t="shared" si="51"/>
        <v>0</v>
      </c>
    </row>
  </sheetData>
  <mergeCells count="21">
    <mergeCell ref="J7:P7"/>
    <mergeCell ref="G9:G10"/>
    <mergeCell ref="H9:H10"/>
    <mergeCell ref="N9:N10"/>
    <mergeCell ref="O9:O10"/>
    <mergeCell ref="A5:Q5"/>
    <mergeCell ref="Q7:Q10"/>
    <mergeCell ref="E8:E10"/>
    <mergeCell ref="F8:F10"/>
    <mergeCell ref="G8:H8"/>
    <mergeCell ref="I8:I10"/>
    <mergeCell ref="J8:J10"/>
    <mergeCell ref="K8:K10"/>
    <mergeCell ref="M8:M10"/>
    <mergeCell ref="N8:O8"/>
    <mergeCell ref="P8:P10"/>
    <mergeCell ref="A7:A10"/>
    <mergeCell ref="B7:B10"/>
    <mergeCell ref="C7:C10"/>
    <mergeCell ref="D7:D10"/>
    <mergeCell ref="E7:I7"/>
  </mergeCells>
  <pageMargins left="0.43307086614173229" right="0.19685039370078741" top="0.19685039370078741" bottom="0.19685039370078741" header="0.19685039370078741" footer="0.19685039370078741"/>
  <pageSetup paperSize="9" scale="4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початковий</vt:lpstr>
      <vt:lpstr>зміни квітень</vt:lpstr>
      <vt:lpstr>зі змінами 09.04.19</vt:lpstr>
      <vt:lpstr>зміни червень</vt:lpstr>
      <vt:lpstr>'зі змінами 09.04.19'!Заголовки_для_печати</vt:lpstr>
      <vt:lpstr>'зміни квітень'!Заголовки_для_печати</vt:lpstr>
      <vt:lpstr>'зміни червень'!Заголовки_для_печати</vt:lpstr>
      <vt:lpstr>початковий!Заголовки_для_печати</vt:lpstr>
      <vt:lpstr>'зі змінами 09.04.19'!Область_печати</vt:lpstr>
      <vt:lpstr>'зміни квітень'!Область_печати</vt:lpstr>
      <vt:lpstr>'зміни червень'!Область_печати</vt:lpstr>
      <vt:lpstr>початковий!Область_печати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2019-06-24T14:18:02Z</cp:lastPrinted>
  <dcterms:created xsi:type="dcterms:W3CDTF">2012-12-15T07:44:03Z</dcterms:created>
  <dcterms:modified xsi:type="dcterms:W3CDTF">2019-06-25T05:59:13Z</dcterms:modified>
</cp:coreProperties>
</file>