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4220" windowHeight="10305" activeTab="3"/>
  </bookViews>
  <sheets>
    <sheet name="початковий" sheetId="11" r:id="rId1"/>
    <sheet name="зміни квітень" sheetId="12" r:id="rId2"/>
    <sheet name="зі змінами 09.04.19" sheetId="13" r:id="rId3"/>
    <sheet name="зміни червень" sheetId="14" r:id="rId4"/>
  </sheets>
  <externalReferences>
    <externalReference r:id="rId5"/>
  </externalReferences>
  <definedNames>
    <definedName name="_xlnm.Print_Titles" localSheetId="2">'зі змінами 09.04.19'!$11:$15</definedName>
    <definedName name="_xlnm.Print_Titles" localSheetId="1">'зміни квітень'!$9:$12</definedName>
    <definedName name="_xlnm.Print_Titles" localSheetId="0">початковий!$7:$10</definedName>
    <definedName name="_xlnm.Print_Area" localSheetId="2">'зі змінами 09.04.19'!$A$1:$P$159</definedName>
    <definedName name="_xlnm.Print_Area" localSheetId="1">'зміни квітень'!$A$1:$P$88</definedName>
    <definedName name="_xlnm.Print_Area" localSheetId="3">'зміни червень'!$A$1:$P$75</definedName>
    <definedName name="_xlnm.Print_Area" localSheetId="0">початковий!$A$1:$P$152</definedName>
  </definedNames>
  <calcPr calcId="125725"/>
</workbook>
</file>

<file path=xl/calcChain.xml><?xml version="1.0" encoding="utf-8"?>
<calcChain xmlns="http://schemas.openxmlformats.org/spreadsheetml/2006/main">
  <c r="G22" i="14"/>
  <c r="G21" s="1"/>
  <c r="E22"/>
  <c r="D22" s="1"/>
  <c r="D21" s="1"/>
  <c r="G20"/>
  <c r="E20"/>
  <c r="D20" s="1"/>
  <c r="O62"/>
  <c r="K62"/>
  <c r="J62"/>
  <c r="E62"/>
  <c r="D28"/>
  <c r="E28"/>
  <c r="O15"/>
  <c r="J15"/>
  <c r="F73"/>
  <c r="H73"/>
  <c r="L73"/>
  <c r="M73"/>
  <c r="N73"/>
  <c r="G57"/>
  <c r="E57"/>
  <c r="F55"/>
  <c r="H55"/>
  <c r="I55"/>
  <c r="J55"/>
  <c r="K55"/>
  <c r="L55"/>
  <c r="M55"/>
  <c r="N55"/>
  <c r="O55"/>
  <c r="I57"/>
  <c r="E56"/>
  <c r="E55" s="1"/>
  <c r="O56"/>
  <c r="L56"/>
  <c r="K56"/>
  <c r="J56"/>
  <c r="G56"/>
  <c r="G55" s="1"/>
  <c r="F56"/>
  <c r="F16"/>
  <c r="H16"/>
  <c r="I16"/>
  <c r="J16"/>
  <c r="K16"/>
  <c r="L16"/>
  <c r="M16"/>
  <c r="N16"/>
  <c r="O16"/>
  <c r="G23"/>
  <c r="E23"/>
  <c r="I23"/>
  <c r="D23"/>
  <c r="F21"/>
  <c r="H21"/>
  <c r="I21"/>
  <c r="J21"/>
  <c r="K21"/>
  <c r="L21"/>
  <c r="M21"/>
  <c r="N21"/>
  <c r="O21"/>
  <c r="I20"/>
  <c r="O19"/>
  <c r="K19"/>
  <c r="J19"/>
  <c r="G19"/>
  <c r="E19"/>
  <c r="G18"/>
  <c r="E18"/>
  <c r="G17"/>
  <c r="E17"/>
  <c r="O65"/>
  <c r="J65"/>
  <c r="O67"/>
  <c r="J67"/>
  <c r="O60"/>
  <c r="J60"/>
  <c r="D44"/>
  <c r="P44" s="1"/>
  <c r="P43" s="1"/>
  <c r="E43"/>
  <c r="D37"/>
  <c r="P37" s="1"/>
  <c r="E30"/>
  <c r="G16" l="1"/>
  <c r="G73" s="1"/>
  <c r="D16"/>
  <c r="E21"/>
  <c r="E16" s="1"/>
  <c r="I56"/>
  <c r="D57"/>
  <c r="P23"/>
  <c r="P22"/>
  <c r="P21"/>
  <c r="P20"/>
  <c r="D43"/>
  <c r="D56" l="1"/>
  <c r="P57"/>
  <c r="P56" s="1"/>
  <c r="P55" l="1"/>
  <c r="D55"/>
  <c r="E52" l="1"/>
  <c r="E51"/>
  <c r="E50"/>
  <c r="E24"/>
  <c r="D24" s="1"/>
  <c r="I24"/>
  <c r="K65"/>
  <c r="J59"/>
  <c r="K59"/>
  <c r="L59"/>
  <c r="M59"/>
  <c r="N59"/>
  <c r="O59"/>
  <c r="H25"/>
  <c r="I25"/>
  <c r="J25"/>
  <c r="K25"/>
  <c r="L25"/>
  <c r="M25"/>
  <c r="N25"/>
  <c r="O25"/>
  <c r="E25"/>
  <c r="F25"/>
  <c r="G25"/>
  <c r="D25"/>
  <c r="D27"/>
  <c r="P27" s="1"/>
  <c r="E15"/>
  <c r="E13"/>
  <c r="K60"/>
  <c r="E33"/>
  <c r="E36"/>
  <c r="P24" l="1"/>
  <c r="F28"/>
  <c r="G28"/>
  <c r="H28"/>
  <c r="I28"/>
  <c r="J28"/>
  <c r="K28"/>
  <c r="L28"/>
  <c r="M28"/>
  <c r="N28"/>
  <c r="O28"/>
  <c r="E45"/>
  <c r="F45"/>
  <c r="G45"/>
  <c r="H45"/>
  <c r="I45"/>
  <c r="J45"/>
  <c r="K45"/>
  <c r="L45"/>
  <c r="M45"/>
  <c r="N45"/>
  <c r="O45"/>
  <c r="D45"/>
  <c r="I46"/>
  <c r="E72"/>
  <c r="J72"/>
  <c r="K72"/>
  <c r="O72"/>
  <c r="D46" l="1"/>
  <c r="P46" l="1"/>
  <c r="P45" s="1"/>
  <c r="E32" l="1"/>
  <c r="F32"/>
  <c r="G32"/>
  <c r="H32"/>
  <c r="I32"/>
  <c r="J32"/>
  <c r="K32"/>
  <c r="L32"/>
  <c r="M32"/>
  <c r="N32"/>
  <c r="O32"/>
  <c r="P34"/>
  <c r="D34"/>
  <c r="I60" l="1"/>
  <c r="I59" s="1"/>
  <c r="D60"/>
  <c r="P60" l="1"/>
  <c r="E12" l="1"/>
  <c r="F12"/>
  <c r="G12"/>
  <c r="H12"/>
  <c r="J12"/>
  <c r="K12"/>
  <c r="L12"/>
  <c r="M12"/>
  <c r="N12"/>
  <c r="O12"/>
  <c r="E70"/>
  <c r="F70"/>
  <c r="G70"/>
  <c r="H70"/>
  <c r="J70"/>
  <c r="K70"/>
  <c r="L70"/>
  <c r="M70"/>
  <c r="N70"/>
  <c r="O70"/>
  <c r="I71"/>
  <c r="P71" s="1"/>
  <c r="E14"/>
  <c r="D40"/>
  <c r="P40" s="1"/>
  <c r="E42" l="1"/>
  <c r="I72" l="1"/>
  <c r="I70" s="1"/>
  <c r="D72"/>
  <c r="D70" s="1"/>
  <c r="F77" l="1"/>
  <c r="G77"/>
  <c r="P70"/>
  <c r="P72"/>
  <c r="E66" l="1"/>
  <c r="F66"/>
  <c r="G66"/>
  <c r="H66"/>
  <c r="J66"/>
  <c r="L66"/>
  <c r="M66"/>
  <c r="N66"/>
  <c r="O66"/>
  <c r="D66"/>
  <c r="E68"/>
  <c r="F68"/>
  <c r="G68"/>
  <c r="H68"/>
  <c r="I68"/>
  <c r="J68"/>
  <c r="K68"/>
  <c r="K66" s="1"/>
  <c r="L68"/>
  <c r="M68"/>
  <c r="N68"/>
  <c r="O68"/>
  <c r="D68"/>
  <c r="I69"/>
  <c r="D69"/>
  <c r="F14"/>
  <c r="F13"/>
  <c r="P68" l="1"/>
  <c r="P69"/>
  <c r="O63"/>
  <c r="M63"/>
  <c r="E64"/>
  <c r="E63" s="1"/>
  <c r="F64"/>
  <c r="F63" s="1"/>
  <c r="G64"/>
  <c r="G63" s="1"/>
  <c r="H64"/>
  <c r="H63" s="1"/>
  <c r="J64"/>
  <c r="J63" s="1"/>
  <c r="K64"/>
  <c r="K63" s="1"/>
  <c r="K73" s="1"/>
  <c r="L64"/>
  <c r="L63" s="1"/>
  <c r="M64"/>
  <c r="N64"/>
  <c r="N63" s="1"/>
  <c r="O64"/>
  <c r="D64"/>
  <c r="E59"/>
  <c r="E58" s="1"/>
  <c r="E73" s="1"/>
  <c r="F59"/>
  <c r="F58" s="1"/>
  <c r="G59"/>
  <c r="G58" s="1"/>
  <c r="H59"/>
  <c r="H58" s="1"/>
  <c r="J58"/>
  <c r="J73" s="1"/>
  <c r="K58"/>
  <c r="L58"/>
  <c r="M58"/>
  <c r="N58"/>
  <c r="O58"/>
  <c r="O73" s="1"/>
  <c r="E53"/>
  <c r="F53"/>
  <c r="G53"/>
  <c r="H53"/>
  <c r="I53"/>
  <c r="J53"/>
  <c r="K53"/>
  <c r="L53"/>
  <c r="M53"/>
  <c r="N53"/>
  <c r="O53"/>
  <c r="I31"/>
  <c r="I30"/>
  <c r="E35"/>
  <c r="F35"/>
  <c r="G35"/>
  <c r="H35"/>
  <c r="I35"/>
  <c r="J35"/>
  <c r="K35"/>
  <c r="L35"/>
  <c r="M35"/>
  <c r="N35"/>
  <c r="O35"/>
  <c r="E38"/>
  <c r="F38"/>
  <c r="G38"/>
  <c r="H38"/>
  <c r="J38"/>
  <c r="K38"/>
  <c r="L38"/>
  <c r="M38"/>
  <c r="N38"/>
  <c r="O38"/>
  <c r="E41"/>
  <c r="F41"/>
  <c r="G41"/>
  <c r="H41"/>
  <c r="J41"/>
  <c r="K41"/>
  <c r="L41"/>
  <c r="M41"/>
  <c r="N41"/>
  <c r="O41"/>
  <c r="O14"/>
  <c r="K14"/>
  <c r="J14"/>
  <c r="I65"/>
  <c r="I64" s="1"/>
  <c r="H77" l="1"/>
  <c r="E31"/>
  <c r="I67" l="1"/>
  <c r="D67"/>
  <c r="D63" s="1"/>
  <c r="P65"/>
  <c r="I62"/>
  <c r="D62"/>
  <c r="I61"/>
  <c r="D61"/>
  <c r="D59" s="1"/>
  <c r="D54"/>
  <c r="O49"/>
  <c r="L49"/>
  <c r="I52"/>
  <c r="D52"/>
  <c r="I51"/>
  <c r="D51"/>
  <c r="I50"/>
  <c r="D50"/>
  <c r="N49"/>
  <c r="M49"/>
  <c r="K49"/>
  <c r="J49"/>
  <c r="H49"/>
  <c r="G49"/>
  <c r="F49"/>
  <c r="D48"/>
  <c r="O47"/>
  <c r="N47"/>
  <c r="M47"/>
  <c r="L47"/>
  <c r="K47"/>
  <c r="J47"/>
  <c r="I47"/>
  <c r="G47"/>
  <c r="F47"/>
  <c r="I42"/>
  <c r="I41" s="1"/>
  <c r="D42"/>
  <c r="D41" s="1"/>
  <c r="I39"/>
  <c r="I38" s="1"/>
  <c r="D39"/>
  <c r="D38" s="1"/>
  <c r="D36"/>
  <c r="D33"/>
  <c r="D32" s="1"/>
  <c r="O29"/>
  <c r="D31"/>
  <c r="D30"/>
  <c r="N29"/>
  <c r="M29"/>
  <c r="L29"/>
  <c r="K29"/>
  <c r="J29"/>
  <c r="G29"/>
  <c r="F29"/>
  <c r="E29"/>
  <c r="I26"/>
  <c r="I19"/>
  <c r="D19"/>
  <c r="I18"/>
  <c r="D18"/>
  <c r="I17"/>
  <c r="D17"/>
  <c r="I15"/>
  <c r="D15"/>
  <c r="I14"/>
  <c r="D14"/>
  <c r="D13"/>
  <c r="K126" i="13"/>
  <c r="L126"/>
  <c r="M126"/>
  <c r="N126"/>
  <c r="O126"/>
  <c r="J126"/>
  <c r="J119" s="1"/>
  <c r="I109"/>
  <c r="H119"/>
  <c r="P155"/>
  <c r="I155"/>
  <c r="D155"/>
  <c r="D151" s="1"/>
  <c r="J151"/>
  <c r="K151"/>
  <c r="L151"/>
  <c r="M151"/>
  <c r="N151"/>
  <c r="O151"/>
  <c r="I151"/>
  <c r="E151"/>
  <c r="F151"/>
  <c r="G151"/>
  <c r="H151"/>
  <c r="O154"/>
  <c r="K154"/>
  <c r="J154"/>
  <c r="O149"/>
  <c r="L149"/>
  <c r="O148"/>
  <c r="K148"/>
  <c r="J148"/>
  <c r="P144"/>
  <c r="E143"/>
  <c r="D144"/>
  <c r="D143" s="1"/>
  <c r="I66" i="14" l="1"/>
  <c r="I63" s="1"/>
  <c r="P16"/>
  <c r="D12"/>
  <c r="I58"/>
  <c r="D58"/>
  <c r="D73" s="1"/>
  <c r="P54"/>
  <c r="D53"/>
  <c r="P53" s="1"/>
  <c r="P36"/>
  <c r="D35"/>
  <c r="P33"/>
  <c r="P32" s="1"/>
  <c r="P51"/>
  <c r="P39"/>
  <c r="P62"/>
  <c r="P52"/>
  <c r="P14"/>
  <c r="P61"/>
  <c r="I13"/>
  <c r="I12" s="1"/>
  <c r="P67"/>
  <c r="P15"/>
  <c r="D29"/>
  <c r="P42"/>
  <c r="I49"/>
  <c r="P50"/>
  <c r="P48"/>
  <c r="D47"/>
  <c r="P47" s="1"/>
  <c r="P31"/>
  <c r="P17"/>
  <c r="P19"/>
  <c r="P18"/>
  <c r="E47"/>
  <c r="E49"/>
  <c r="D26"/>
  <c r="P38"/>
  <c r="O132" i="13"/>
  <c r="K132"/>
  <c r="J132"/>
  <c r="L127"/>
  <c r="M127"/>
  <c r="N127"/>
  <c r="O127"/>
  <c r="J127"/>
  <c r="P129"/>
  <c r="I129"/>
  <c r="O128"/>
  <c r="K128"/>
  <c r="K127" s="1"/>
  <c r="J128"/>
  <c r="O125"/>
  <c r="K125"/>
  <c r="K122" s="1"/>
  <c r="J125"/>
  <c r="E124"/>
  <c r="O121"/>
  <c r="K121"/>
  <c r="J121"/>
  <c r="E161"/>
  <c r="F161"/>
  <c r="G161"/>
  <c r="H161"/>
  <c r="I161"/>
  <c r="J161"/>
  <c r="K161"/>
  <c r="L161"/>
  <c r="M161"/>
  <c r="N161"/>
  <c r="O161"/>
  <c r="P161"/>
  <c r="D161"/>
  <c r="O117"/>
  <c r="K117"/>
  <c r="J117"/>
  <c r="E117"/>
  <c r="O116"/>
  <c r="K116"/>
  <c r="K110" s="1"/>
  <c r="K109" s="1"/>
  <c r="J116"/>
  <c r="E116"/>
  <c r="O114"/>
  <c r="K114"/>
  <c r="J114"/>
  <c r="O112"/>
  <c r="K112"/>
  <c r="J112"/>
  <c r="J110" s="1"/>
  <c r="J109" s="1"/>
  <c r="E112"/>
  <c r="O111"/>
  <c r="K111"/>
  <c r="J111"/>
  <c r="E111"/>
  <c r="E108"/>
  <c r="E106"/>
  <c r="E97"/>
  <c r="D97" s="1"/>
  <c r="P97" s="1"/>
  <c r="E96"/>
  <c r="E95"/>
  <c r="E93"/>
  <c r="E90"/>
  <c r="E68"/>
  <c r="D73"/>
  <c r="P73" s="1"/>
  <c r="E72"/>
  <c r="D72"/>
  <c r="D71"/>
  <c r="D70"/>
  <c r="D69"/>
  <c r="D68" s="1"/>
  <c r="P68" s="1"/>
  <c r="E64"/>
  <c r="E63"/>
  <c r="D63" s="1"/>
  <c r="P63" s="1"/>
  <c r="E61"/>
  <c r="D61" s="1"/>
  <c r="P61" s="1"/>
  <c r="E59"/>
  <c r="D60"/>
  <c r="D62"/>
  <c r="D64"/>
  <c r="P64" s="1"/>
  <c r="D65"/>
  <c r="D59"/>
  <c r="D54"/>
  <c r="D52" s="1"/>
  <c r="P52" s="1"/>
  <c r="D53"/>
  <c r="D51"/>
  <c r="D50"/>
  <c r="O44"/>
  <c r="K44"/>
  <c r="J44"/>
  <c r="E44"/>
  <c r="O40"/>
  <c r="O39" s="1"/>
  <c r="K40"/>
  <c r="J40"/>
  <c r="E40"/>
  <c r="N21"/>
  <c r="I38"/>
  <c r="D38"/>
  <c r="F36"/>
  <c r="E36"/>
  <c r="E32"/>
  <c r="O31"/>
  <c r="E31"/>
  <c r="O28"/>
  <c r="K28"/>
  <c r="J28"/>
  <c r="O23"/>
  <c r="K23"/>
  <c r="J23"/>
  <c r="E23"/>
  <c r="O22"/>
  <c r="O21" s="1"/>
  <c r="J22"/>
  <c r="J21" s="1"/>
  <c r="G22"/>
  <c r="G21" s="1"/>
  <c r="E22"/>
  <c r="E21" s="1"/>
  <c r="O20"/>
  <c r="I20" s="1"/>
  <c r="J20"/>
  <c r="E20"/>
  <c r="E18"/>
  <c r="E17"/>
  <c r="P163"/>
  <c r="O163"/>
  <c r="N163"/>
  <c r="M163"/>
  <c r="L163"/>
  <c r="K163"/>
  <c r="J163"/>
  <c r="I163"/>
  <c r="H163"/>
  <c r="G163"/>
  <c r="F163"/>
  <c r="E163"/>
  <c r="D163"/>
  <c r="I154"/>
  <c r="P154" s="1"/>
  <c r="I153"/>
  <c r="E153"/>
  <c r="E152" s="1"/>
  <c r="I152"/>
  <c r="I150"/>
  <c r="P150" s="1"/>
  <c r="I148"/>
  <c r="P148" s="1"/>
  <c r="O147"/>
  <c r="I147" s="1"/>
  <c r="P147" s="1"/>
  <c r="K147"/>
  <c r="K146" s="1"/>
  <c r="K140" s="1"/>
  <c r="J147"/>
  <c r="J146" s="1"/>
  <c r="L146"/>
  <c r="D145"/>
  <c r="P143" s="1"/>
  <c r="I142"/>
  <c r="I141" s="1"/>
  <c r="E142"/>
  <c r="D142"/>
  <c r="D141" s="1"/>
  <c r="O141"/>
  <c r="K141"/>
  <c r="J141"/>
  <c r="E141"/>
  <c r="N140"/>
  <c r="M140"/>
  <c r="L140"/>
  <c r="O139"/>
  <c r="I139" s="1"/>
  <c r="K139"/>
  <c r="K137" s="1"/>
  <c r="K130" s="1"/>
  <c r="J139"/>
  <c r="E139"/>
  <c r="D139" s="1"/>
  <c r="D137" s="1"/>
  <c r="I138"/>
  <c r="P138" s="1"/>
  <c r="O137"/>
  <c r="N137"/>
  <c r="M137"/>
  <c r="M130" s="1"/>
  <c r="L137"/>
  <c r="J137"/>
  <c r="J130" s="1"/>
  <c r="D136"/>
  <c r="P136" s="1"/>
  <c r="I135"/>
  <c r="P135" s="1"/>
  <c r="I134"/>
  <c r="P134" s="1"/>
  <c r="I133"/>
  <c r="P133" s="1"/>
  <c r="E132"/>
  <c r="D132" s="1"/>
  <c r="E131"/>
  <c r="N130"/>
  <c r="L130"/>
  <c r="H130"/>
  <c r="G130"/>
  <c r="F130"/>
  <c r="I128"/>
  <c r="D128"/>
  <c r="E127"/>
  <c r="E126" s="1"/>
  <c r="D127"/>
  <c r="D126" s="1"/>
  <c r="I126"/>
  <c r="I125"/>
  <c r="P125" s="1"/>
  <c r="J122"/>
  <c r="I124"/>
  <c r="D124"/>
  <c r="P124" s="1"/>
  <c r="I123"/>
  <c r="P123" s="1"/>
  <c r="N122"/>
  <c r="M122"/>
  <c r="L122"/>
  <c r="E122"/>
  <c r="I121"/>
  <c r="D121"/>
  <c r="D120" s="1"/>
  <c r="O120"/>
  <c r="I120" s="1"/>
  <c r="N120"/>
  <c r="M120"/>
  <c r="L120"/>
  <c r="K120"/>
  <c r="J120"/>
  <c r="E120"/>
  <c r="I118"/>
  <c r="P118" s="1"/>
  <c r="I117"/>
  <c r="D117"/>
  <c r="I116"/>
  <c r="D116"/>
  <c r="P115"/>
  <c r="I115"/>
  <c r="I114"/>
  <c r="E114"/>
  <c r="E110" s="1"/>
  <c r="E109" s="1"/>
  <c r="I113"/>
  <c r="D113"/>
  <c r="P113" s="1"/>
  <c r="I112"/>
  <c r="D112"/>
  <c r="I111"/>
  <c r="D111"/>
  <c r="P111" s="1"/>
  <c r="O110"/>
  <c r="O109" s="1"/>
  <c r="N110"/>
  <c r="M110"/>
  <c r="M109" s="1"/>
  <c r="L110"/>
  <c r="L109" s="1"/>
  <c r="G110"/>
  <c r="F110"/>
  <c r="F109" s="1"/>
  <c r="N109"/>
  <c r="G109"/>
  <c r="D108"/>
  <c r="O107"/>
  <c r="K107"/>
  <c r="J107"/>
  <c r="I107"/>
  <c r="E107"/>
  <c r="I106"/>
  <c r="E105"/>
  <c r="O105"/>
  <c r="O101" s="1"/>
  <c r="L105"/>
  <c r="K105"/>
  <c r="J105"/>
  <c r="J101" s="1"/>
  <c r="G105"/>
  <c r="G101" s="1"/>
  <c r="F105"/>
  <c r="E104"/>
  <c r="D104" s="1"/>
  <c r="P104" s="1"/>
  <c r="E103"/>
  <c r="E102" s="1"/>
  <c r="E101" s="1"/>
  <c r="K101"/>
  <c r="F101"/>
  <c r="D100"/>
  <c r="P100" s="1"/>
  <c r="P99"/>
  <c r="D99"/>
  <c r="O98"/>
  <c r="N98"/>
  <c r="N94" s="1"/>
  <c r="M98"/>
  <c r="L98"/>
  <c r="K98"/>
  <c r="K94" s="1"/>
  <c r="J98"/>
  <c r="J94" s="1"/>
  <c r="I98"/>
  <c r="G98"/>
  <c r="F98"/>
  <c r="F94" s="1"/>
  <c r="E98"/>
  <c r="M97"/>
  <c r="M94" s="1"/>
  <c r="I97"/>
  <c r="I96"/>
  <c r="I94" s="1"/>
  <c r="D96"/>
  <c r="I95"/>
  <c r="D95"/>
  <c r="P95" s="1"/>
  <c r="O94"/>
  <c r="L94"/>
  <c r="H94"/>
  <c r="G94"/>
  <c r="D93"/>
  <c r="P93" s="1"/>
  <c r="O92"/>
  <c r="N92"/>
  <c r="M92"/>
  <c r="L92"/>
  <c r="K92"/>
  <c r="J92"/>
  <c r="I92"/>
  <c r="G92"/>
  <c r="F92"/>
  <c r="E92"/>
  <c r="D91"/>
  <c r="P91" s="1"/>
  <c r="D90"/>
  <c r="D89" s="1"/>
  <c r="E89"/>
  <c r="D88"/>
  <c r="P88" s="1"/>
  <c r="P87"/>
  <c r="D87"/>
  <c r="P86"/>
  <c r="E86"/>
  <c r="D86"/>
  <c r="D85"/>
  <c r="P85" s="1"/>
  <c r="E84"/>
  <c r="D84" s="1"/>
  <c r="P84" s="1"/>
  <c r="D83"/>
  <c r="P83" s="1"/>
  <c r="E82"/>
  <c r="D81"/>
  <c r="P81" s="1"/>
  <c r="I80"/>
  <c r="F80"/>
  <c r="F79" s="1"/>
  <c r="D80"/>
  <c r="P80" s="1"/>
  <c r="O79"/>
  <c r="I79" s="1"/>
  <c r="N79"/>
  <c r="M79"/>
  <c r="L79"/>
  <c r="K79"/>
  <c r="J79"/>
  <c r="G79"/>
  <c r="E79"/>
  <c r="D79"/>
  <c r="D78"/>
  <c r="D77" s="1"/>
  <c r="P77" s="1"/>
  <c r="E77"/>
  <c r="I76"/>
  <c r="I75" s="1"/>
  <c r="F76"/>
  <c r="E76"/>
  <c r="D76"/>
  <c r="P76" s="1"/>
  <c r="O75"/>
  <c r="N75"/>
  <c r="M75"/>
  <c r="L75"/>
  <c r="K75"/>
  <c r="J75"/>
  <c r="G75"/>
  <c r="F75"/>
  <c r="E75"/>
  <c r="P74"/>
  <c r="D74"/>
  <c r="P72"/>
  <c r="P71"/>
  <c r="P70"/>
  <c r="P69"/>
  <c r="D67"/>
  <c r="P67" s="1"/>
  <c r="E66"/>
  <c r="D66"/>
  <c r="P66" s="1"/>
  <c r="P65"/>
  <c r="P62"/>
  <c r="P60"/>
  <c r="P59"/>
  <c r="O58"/>
  <c r="N58"/>
  <c r="M58"/>
  <c r="L58"/>
  <c r="K58"/>
  <c r="J58"/>
  <c r="I58"/>
  <c r="G58"/>
  <c r="F58"/>
  <c r="D57"/>
  <c r="P57" s="1"/>
  <c r="D56"/>
  <c r="P56" s="1"/>
  <c r="O55"/>
  <c r="O54" s="1"/>
  <c r="O53" s="1"/>
  <c r="O52" s="1"/>
  <c r="O51" s="1"/>
  <c r="O50" s="1"/>
  <c r="O49" s="1"/>
  <c r="N55"/>
  <c r="M55"/>
  <c r="L55"/>
  <c r="K55"/>
  <c r="J55"/>
  <c r="I55"/>
  <c r="G55"/>
  <c r="F55"/>
  <c r="E55"/>
  <c r="P53"/>
  <c r="N52"/>
  <c r="M52"/>
  <c r="L52"/>
  <c r="K52"/>
  <c r="J52"/>
  <c r="I52"/>
  <c r="I51" s="1"/>
  <c r="G52"/>
  <c r="F52"/>
  <c r="F48" s="1"/>
  <c r="E52"/>
  <c r="N49"/>
  <c r="M49"/>
  <c r="L49"/>
  <c r="K49"/>
  <c r="J49"/>
  <c r="G49"/>
  <c r="F49"/>
  <c r="E49"/>
  <c r="D49"/>
  <c r="M48"/>
  <c r="J48"/>
  <c r="G48"/>
  <c r="D47"/>
  <c r="P47" s="1"/>
  <c r="D46"/>
  <c r="D45" s="1"/>
  <c r="P45" s="1"/>
  <c r="E45"/>
  <c r="I44"/>
  <c r="D44"/>
  <c r="P43"/>
  <c r="D43"/>
  <c r="D42"/>
  <c r="P42" s="1"/>
  <c r="D41"/>
  <c r="P41" s="1"/>
  <c r="K39"/>
  <c r="J39"/>
  <c r="I40"/>
  <c r="D40"/>
  <c r="N39"/>
  <c r="M39"/>
  <c r="L39"/>
  <c r="E39"/>
  <c r="D37"/>
  <c r="I36"/>
  <c r="I35" s="1"/>
  <c r="D36"/>
  <c r="L35"/>
  <c r="L21" s="1"/>
  <c r="G35"/>
  <c r="F35"/>
  <c r="E35"/>
  <c r="D34"/>
  <c r="P34" s="1"/>
  <c r="P33"/>
  <c r="D33"/>
  <c r="M32"/>
  <c r="I32"/>
  <c r="D32"/>
  <c r="P32" s="1"/>
  <c r="I31"/>
  <c r="D31"/>
  <c r="E30"/>
  <c r="D30" s="1"/>
  <c r="P30" s="1"/>
  <c r="I28"/>
  <c r="D28"/>
  <c r="E27"/>
  <c r="D27"/>
  <c r="P27" s="1"/>
  <c r="D26"/>
  <c r="P26" s="1"/>
  <c r="E25"/>
  <c r="D25"/>
  <c r="P25" s="1"/>
  <c r="M23"/>
  <c r="M21" s="1"/>
  <c r="I23"/>
  <c r="D23"/>
  <c r="K22"/>
  <c r="K21" s="1"/>
  <c r="I22"/>
  <c r="I21" s="1"/>
  <c r="F22"/>
  <c r="F21" s="1"/>
  <c r="K20"/>
  <c r="D20"/>
  <c r="E19"/>
  <c r="D19" s="1"/>
  <c r="P19" s="1"/>
  <c r="O18"/>
  <c r="I18" s="1"/>
  <c r="K18"/>
  <c r="J18"/>
  <c r="F18"/>
  <c r="D18"/>
  <c r="P18" s="1"/>
  <c r="O17"/>
  <c r="L17"/>
  <c r="I17" s="1"/>
  <c r="K17"/>
  <c r="J17"/>
  <c r="G17"/>
  <c r="G16" s="1"/>
  <c r="F17"/>
  <c r="D17"/>
  <c r="K16"/>
  <c r="F16"/>
  <c r="E16"/>
  <c r="J18" i="12"/>
  <c r="I24"/>
  <c r="F27"/>
  <c r="E27"/>
  <c r="F26"/>
  <c r="E26"/>
  <c r="I73" i="14" l="1"/>
  <c r="P35"/>
  <c r="M77"/>
  <c r="L77"/>
  <c r="N77"/>
  <c r="K77"/>
  <c r="O77"/>
  <c r="J77"/>
  <c r="P64"/>
  <c r="P13"/>
  <c r="P12"/>
  <c r="P41"/>
  <c r="P66"/>
  <c r="D49"/>
  <c r="P49" s="1"/>
  <c r="P30"/>
  <c r="I29"/>
  <c r="P58"/>
  <c r="P59"/>
  <c r="P25"/>
  <c r="P26"/>
  <c r="O130" i="13"/>
  <c r="I137"/>
  <c r="I130" s="1"/>
  <c r="I50"/>
  <c r="P50" s="1"/>
  <c r="P51"/>
  <c r="P44"/>
  <c r="P54"/>
  <c r="H156"/>
  <c r="H160" s="1"/>
  <c r="M119"/>
  <c r="I132"/>
  <c r="E140"/>
  <c r="P142"/>
  <c r="D153"/>
  <c r="P36"/>
  <c r="E58"/>
  <c r="P128"/>
  <c r="E137"/>
  <c r="J16"/>
  <c r="L48"/>
  <c r="D98"/>
  <c r="P98" s="1"/>
  <c r="E130"/>
  <c r="E119" s="1"/>
  <c r="P38"/>
  <c r="P46"/>
  <c r="K48"/>
  <c r="O146"/>
  <c r="O140" s="1"/>
  <c r="I140" s="1"/>
  <c r="O48"/>
  <c r="L119"/>
  <c r="J140"/>
  <c r="I127"/>
  <c r="P127" s="1"/>
  <c r="P79"/>
  <c r="L16"/>
  <c r="D22"/>
  <c r="N48"/>
  <c r="I105"/>
  <c r="M156"/>
  <c r="M164" s="1"/>
  <c r="N119"/>
  <c r="P132"/>
  <c r="P126"/>
  <c r="K119"/>
  <c r="K156" s="1"/>
  <c r="D122"/>
  <c r="P121"/>
  <c r="P117"/>
  <c r="P116"/>
  <c r="I110"/>
  <c r="P112"/>
  <c r="E94"/>
  <c r="E48"/>
  <c r="P58"/>
  <c r="I39"/>
  <c r="D35"/>
  <c r="P35" s="1"/>
  <c r="P31"/>
  <c r="P28"/>
  <c r="P23"/>
  <c r="I16"/>
  <c r="P16" s="1"/>
  <c r="P20"/>
  <c r="O16"/>
  <c r="D16"/>
  <c r="P96"/>
  <c r="P40"/>
  <c r="D39"/>
  <c r="F156"/>
  <c r="F164" s="1"/>
  <c r="D107"/>
  <c r="P107" s="1"/>
  <c r="P108"/>
  <c r="P137"/>
  <c r="P139"/>
  <c r="P120"/>
  <c r="P141"/>
  <c r="D140"/>
  <c r="I101"/>
  <c r="J156"/>
  <c r="G156"/>
  <c r="G164" s="1"/>
  <c r="I49"/>
  <c r="P49" s="1"/>
  <c r="P17"/>
  <c r="D75"/>
  <c r="P75" s="1"/>
  <c r="D82"/>
  <c r="P82" s="1"/>
  <c r="D92"/>
  <c r="P92" s="1"/>
  <c r="L101"/>
  <c r="P145"/>
  <c r="D103"/>
  <c r="D106"/>
  <c r="D114"/>
  <c r="P114" s="1"/>
  <c r="I149"/>
  <c r="P149" s="1"/>
  <c r="P22"/>
  <c r="P37"/>
  <c r="D55"/>
  <c r="D58"/>
  <c r="P78"/>
  <c r="P90"/>
  <c r="P89" s="1"/>
  <c r="O122"/>
  <c r="D131"/>
  <c r="O22" i="12"/>
  <c r="K22"/>
  <c r="J22"/>
  <c r="O27"/>
  <c r="J27"/>
  <c r="K27"/>
  <c r="H61"/>
  <c r="O65"/>
  <c r="K65"/>
  <c r="J65"/>
  <c r="O78"/>
  <c r="O71"/>
  <c r="K71"/>
  <c r="J71"/>
  <c r="O59"/>
  <c r="K59"/>
  <c r="J59"/>
  <c r="O55"/>
  <c r="K55"/>
  <c r="J55"/>
  <c r="E22"/>
  <c r="I23"/>
  <c r="E77" i="14" l="1"/>
  <c r="P29"/>
  <c r="P63"/>
  <c r="L156" i="13"/>
  <c r="L160" s="1"/>
  <c r="N156"/>
  <c r="N164" s="1"/>
  <c r="H164"/>
  <c r="G160"/>
  <c r="E156"/>
  <c r="E160" s="1"/>
  <c r="I146"/>
  <c r="P146" s="1"/>
  <c r="D21"/>
  <c r="D152"/>
  <c r="P153"/>
  <c r="I48"/>
  <c r="F160"/>
  <c r="D94"/>
  <c r="P94" s="1"/>
  <c r="N160"/>
  <c r="M160"/>
  <c r="K164"/>
  <c r="K160"/>
  <c r="J164"/>
  <c r="J160"/>
  <c r="P39"/>
  <c r="P21"/>
  <c r="D110"/>
  <c r="D102"/>
  <c r="P103"/>
  <c r="P106"/>
  <c r="P105" s="1"/>
  <c r="D105"/>
  <c r="D130"/>
  <c r="P131"/>
  <c r="D48"/>
  <c r="P48" s="1"/>
  <c r="P55"/>
  <c r="P140"/>
  <c r="I122"/>
  <c r="P122" s="1"/>
  <c r="O119"/>
  <c r="I119" s="1"/>
  <c r="L164"/>
  <c r="E70" i="12"/>
  <c r="F70"/>
  <c r="G70"/>
  <c r="H70"/>
  <c r="H31"/>
  <c r="E40"/>
  <c r="D41"/>
  <c r="D40" s="1"/>
  <c r="P40" s="1"/>
  <c r="L54"/>
  <c r="M54"/>
  <c r="N54"/>
  <c r="P57"/>
  <c r="I57"/>
  <c r="J76"/>
  <c r="K76"/>
  <c r="M76"/>
  <c r="N76"/>
  <c r="I77"/>
  <c r="P77" s="1"/>
  <c r="D77" i="14" l="1"/>
  <c r="P28"/>
  <c r="E164" i="13"/>
  <c r="P151"/>
  <c r="P152"/>
  <c r="P130"/>
  <c r="D119"/>
  <c r="P110"/>
  <c r="D109"/>
  <c r="P109" s="1"/>
  <c r="D101"/>
  <c r="P102"/>
  <c r="O156"/>
  <c r="O160" s="1"/>
  <c r="P41" i="12"/>
  <c r="I77" i="14" l="1"/>
  <c r="P73"/>
  <c r="O164" i="13"/>
  <c r="I156"/>
  <c r="P101"/>
  <c r="D156"/>
  <c r="D160" s="1"/>
  <c r="P119"/>
  <c r="D52" i="12"/>
  <c r="O51"/>
  <c r="K51"/>
  <c r="J51"/>
  <c r="I51"/>
  <c r="E50"/>
  <c r="P21"/>
  <c r="D21"/>
  <c r="D20"/>
  <c r="P20" s="1"/>
  <c r="P77" i="14" l="1"/>
  <c r="I164" i="13"/>
  <c r="I160"/>
  <c r="D164"/>
  <c r="P156"/>
  <c r="D51" i="12"/>
  <c r="P52"/>
  <c r="E51"/>
  <c r="P164" i="13" l="1"/>
  <c r="P160"/>
  <c r="P51" i="12"/>
  <c r="E59"/>
  <c r="O29" l="1"/>
  <c r="K29"/>
  <c r="J29"/>
  <c r="E37" l="1"/>
  <c r="D37" s="1"/>
  <c r="D39"/>
  <c r="P39" s="1"/>
  <c r="E34"/>
  <c r="E74"/>
  <c r="F74"/>
  <c r="G74"/>
  <c r="H74"/>
  <c r="J74"/>
  <c r="J73" s="1"/>
  <c r="K74"/>
  <c r="K73" s="1"/>
  <c r="L74"/>
  <c r="M74"/>
  <c r="M73" s="1"/>
  <c r="N74"/>
  <c r="N73" s="1"/>
  <c r="O74"/>
  <c r="I75"/>
  <c r="I74" s="1"/>
  <c r="D75"/>
  <c r="D74" s="1"/>
  <c r="E17"/>
  <c r="P74" l="1"/>
  <c r="P75"/>
  <c r="L18"/>
  <c r="M18"/>
  <c r="N18"/>
  <c r="G18" l="1"/>
  <c r="H18"/>
  <c r="D27"/>
  <c r="F18"/>
  <c r="E23" l="1"/>
  <c r="I27" l="1"/>
  <c r="P27" s="1"/>
  <c r="E55"/>
  <c r="K84" l="1"/>
  <c r="K80" s="1"/>
  <c r="E54"/>
  <c r="O68"/>
  <c r="K68"/>
  <c r="J68"/>
  <c r="P23" l="1"/>
  <c r="D23"/>
  <c r="I26"/>
  <c r="O76" l="1"/>
  <c r="O73" s="1"/>
  <c r="E46" l="1"/>
  <c r="E45"/>
  <c r="D26" l="1"/>
  <c r="E29"/>
  <c r="P37"/>
  <c r="E32"/>
  <c r="D34"/>
  <c r="P34" s="1"/>
  <c r="D35"/>
  <c r="P35" s="1"/>
  <c r="D36"/>
  <c r="P36" s="1"/>
  <c r="D38"/>
  <c r="P38" s="1"/>
  <c r="D33"/>
  <c r="P33" s="1"/>
  <c r="D32" l="1"/>
  <c r="P32" s="1"/>
  <c r="P26"/>
  <c r="J63"/>
  <c r="I71"/>
  <c r="O17"/>
  <c r="J17"/>
  <c r="E16"/>
  <c r="D16" s="1"/>
  <c r="P16" s="1"/>
  <c r="E15"/>
  <c r="D15" s="1"/>
  <c r="D50"/>
  <c r="E24"/>
  <c r="D24" s="1"/>
  <c r="P24" s="1"/>
  <c r="E19"/>
  <c r="E25"/>
  <c r="D25" s="1"/>
  <c r="P25" s="1"/>
  <c r="F44"/>
  <c r="G44"/>
  <c r="H44"/>
  <c r="I44"/>
  <c r="J44"/>
  <c r="K44"/>
  <c r="L44"/>
  <c r="M44"/>
  <c r="N44"/>
  <c r="O44"/>
  <c r="D46"/>
  <c r="P46" s="1"/>
  <c r="D45"/>
  <c r="E47"/>
  <c r="E44" s="1"/>
  <c r="P155" i="11"/>
  <c r="O155"/>
  <c r="N155"/>
  <c r="M155"/>
  <c r="L155"/>
  <c r="K155"/>
  <c r="J155"/>
  <c r="I155"/>
  <c r="H155"/>
  <c r="G155"/>
  <c r="F155"/>
  <c r="E155"/>
  <c r="D155"/>
  <c r="I147"/>
  <c r="P147" s="1"/>
  <c r="I146"/>
  <c r="E146"/>
  <c r="E145" s="1"/>
  <c r="E144" s="1"/>
  <c r="I145"/>
  <c r="I144" s="1"/>
  <c r="O144"/>
  <c r="N144"/>
  <c r="M144"/>
  <c r="L144"/>
  <c r="K144"/>
  <c r="J144"/>
  <c r="H144"/>
  <c r="G144"/>
  <c r="F144"/>
  <c r="P143"/>
  <c r="I143"/>
  <c r="O142"/>
  <c r="I141"/>
  <c r="P141" s="1"/>
  <c r="O140"/>
  <c r="I140" s="1"/>
  <c r="P140" s="1"/>
  <c r="K140"/>
  <c r="K139" s="1"/>
  <c r="J140"/>
  <c r="L139"/>
  <c r="J139"/>
  <c r="D138"/>
  <c r="D137" s="1"/>
  <c r="P137" s="1"/>
  <c r="E137"/>
  <c r="I136"/>
  <c r="P136" s="1"/>
  <c r="E136"/>
  <c r="E135" s="1"/>
  <c r="E134" s="1"/>
  <c r="D136"/>
  <c r="D135" s="1"/>
  <c r="D134" s="1"/>
  <c r="O135"/>
  <c r="K135"/>
  <c r="J135"/>
  <c r="N134"/>
  <c r="M134"/>
  <c r="L134"/>
  <c r="J134"/>
  <c r="O133"/>
  <c r="O131" s="1"/>
  <c r="O124" s="1"/>
  <c r="K133"/>
  <c r="J133"/>
  <c r="J131" s="1"/>
  <c r="J124" s="1"/>
  <c r="I133"/>
  <c r="P133" s="1"/>
  <c r="E133"/>
  <c r="D133"/>
  <c r="D131" s="1"/>
  <c r="I132"/>
  <c r="P132" s="1"/>
  <c r="N131"/>
  <c r="M131"/>
  <c r="M124" s="1"/>
  <c r="L131"/>
  <c r="K131"/>
  <c r="E131"/>
  <c r="D130"/>
  <c r="P130" s="1"/>
  <c r="I129"/>
  <c r="P129" s="1"/>
  <c r="I128"/>
  <c r="P128" s="1"/>
  <c r="P127"/>
  <c r="I127"/>
  <c r="I126"/>
  <c r="E126"/>
  <c r="D126"/>
  <c r="E125"/>
  <c r="N124"/>
  <c r="L124"/>
  <c r="K124"/>
  <c r="H124"/>
  <c r="G124"/>
  <c r="F124"/>
  <c r="P123"/>
  <c r="I123"/>
  <c r="I121" s="1"/>
  <c r="D123"/>
  <c r="O122"/>
  <c r="N122"/>
  <c r="M122"/>
  <c r="L122"/>
  <c r="K122"/>
  <c r="J122"/>
  <c r="E122"/>
  <c r="D122"/>
  <c r="D121" s="1"/>
  <c r="O121"/>
  <c r="N121"/>
  <c r="M121"/>
  <c r="L121"/>
  <c r="K121"/>
  <c r="J121"/>
  <c r="E121"/>
  <c r="O120"/>
  <c r="I120" s="1"/>
  <c r="P120" s="1"/>
  <c r="K120"/>
  <c r="K117" s="1"/>
  <c r="J120"/>
  <c r="J117" s="1"/>
  <c r="I119"/>
  <c r="D119"/>
  <c r="D117" s="1"/>
  <c r="I118"/>
  <c r="P118" s="1"/>
  <c r="N117"/>
  <c r="M117"/>
  <c r="L117"/>
  <c r="E117"/>
  <c r="I116"/>
  <c r="D116"/>
  <c r="O115"/>
  <c r="N115"/>
  <c r="M115"/>
  <c r="M114" s="1"/>
  <c r="L115"/>
  <c r="I115" s="1"/>
  <c r="K115"/>
  <c r="J115"/>
  <c r="E115"/>
  <c r="H114"/>
  <c r="I113"/>
  <c r="P113" s="1"/>
  <c r="I112"/>
  <c r="E112"/>
  <c r="D112"/>
  <c r="P112" s="1"/>
  <c r="I111"/>
  <c r="D111"/>
  <c r="P111" s="1"/>
  <c r="I110"/>
  <c r="P110" s="1"/>
  <c r="I109"/>
  <c r="E109"/>
  <c r="E105" s="1"/>
  <c r="I108"/>
  <c r="D108"/>
  <c r="P108" s="1"/>
  <c r="I107"/>
  <c r="D107"/>
  <c r="P107" s="1"/>
  <c r="I106"/>
  <c r="E106"/>
  <c r="D106" s="1"/>
  <c r="O105"/>
  <c r="N105"/>
  <c r="M105"/>
  <c r="M104" s="1"/>
  <c r="L105"/>
  <c r="L104" s="1"/>
  <c r="K105"/>
  <c r="K104" s="1"/>
  <c r="J105"/>
  <c r="J104" s="1"/>
  <c r="G105"/>
  <c r="F105"/>
  <c r="F104" s="1"/>
  <c r="O104"/>
  <c r="N104"/>
  <c r="G104"/>
  <c r="E103"/>
  <c r="D103" s="1"/>
  <c r="O102"/>
  <c r="O96" s="1"/>
  <c r="K102"/>
  <c r="J102"/>
  <c r="I102"/>
  <c r="I101"/>
  <c r="E101"/>
  <c r="D101" s="1"/>
  <c r="O100"/>
  <c r="L100"/>
  <c r="I100" s="1"/>
  <c r="K100"/>
  <c r="K96" s="1"/>
  <c r="J100"/>
  <c r="J96" s="1"/>
  <c r="G100"/>
  <c r="G96" s="1"/>
  <c r="F100"/>
  <c r="F96" s="1"/>
  <c r="E99"/>
  <c r="D99" s="1"/>
  <c r="P99" s="1"/>
  <c r="E98"/>
  <c r="E97" s="1"/>
  <c r="D95"/>
  <c r="P95" s="1"/>
  <c r="P94"/>
  <c r="D94"/>
  <c r="D93" s="1"/>
  <c r="O93"/>
  <c r="N93"/>
  <c r="N89" s="1"/>
  <c r="M93"/>
  <c r="L93"/>
  <c r="K93"/>
  <c r="K89" s="1"/>
  <c r="J93"/>
  <c r="J89" s="1"/>
  <c r="I93"/>
  <c r="G93"/>
  <c r="F93"/>
  <c r="F89" s="1"/>
  <c r="E93"/>
  <c r="M92"/>
  <c r="M89" s="1"/>
  <c r="I92"/>
  <c r="E92"/>
  <c r="D92" s="1"/>
  <c r="P92" s="1"/>
  <c r="I91"/>
  <c r="E91"/>
  <c r="D91" s="1"/>
  <c r="I90"/>
  <c r="E90"/>
  <c r="D90" s="1"/>
  <c r="O89"/>
  <c r="L89"/>
  <c r="H89"/>
  <c r="G89"/>
  <c r="E88"/>
  <c r="E87" s="1"/>
  <c r="O87"/>
  <c r="N87"/>
  <c r="M87"/>
  <c r="L87"/>
  <c r="K87"/>
  <c r="J87"/>
  <c r="I87"/>
  <c r="G87"/>
  <c r="F87"/>
  <c r="D86"/>
  <c r="P86" s="1"/>
  <c r="P85"/>
  <c r="P84" s="1"/>
  <c r="D85"/>
  <c r="E84"/>
  <c r="D84"/>
  <c r="D83"/>
  <c r="P83" s="1"/>
  <c r="D82"/>
  <c r="P82" s="1"/>
  <c r="P81" s="1"/>
  <c r="E81"/>
  <c r="D80"/>
  <c r="P80" s="1"/>
  <c r="E79"/>
  <c r="D79" s="1"/>
  <c r="P79" s="1"/>
  <c r="D78"/>
  <c r="P78" s="1"/>
  <c r="E77"/>
  <c r="D76"/>
  <c r="P76" s="1"/>
  <c r="I75"/>
  <c r="F75"/>
  <c r="F74" s="1"/>
  <c r="D75"/>
  <c r="O74"/>
  <c r="N74"/>
  <c r="M74"/>
  <c r="L74"/>
  <c r="I74" s="1"/>
  <c r="K74"/>
  <c r="J74"/>
  <c r="G74"/>
  <c r="E74"/>
  <c r="D73"/>
  <c r="P73" s="1"/>
  <c r="E72"/>
  <c r="I71"/>
  <c r="I70" s="1"/>
  <c r="F71"/>
  <c r="F70" s="1"/>
  <c r="E71"/>
  <c r="D71" s="1"/>
  <c r="O70"/>
  <c r="N70"/>
  <c r="M70"/>
  <c r="L70"/>
  <c r="K70"/>
  <c r="J70"/>
  <c r="G70"/>
  <c r="E70"/>
  <c r="D69"/>
  <c r="P69" s="1"/>
  <c r="P68"/>
  <c r="P67"/>
  <c r="P66"/>
  <c r="P65"/>
  <c r="E64"/>
  <c r="D64"/>
  <c r="P64" s="1"/>
  <c r="D63"/>
  <c r="P63" s="1"/>
  <c r="E62"/>
  <c r="E54" s="1"/>
  <c r="D62"/>
  <c r="P62" s="1"/>
  <c r="P61"/>
  <c r="P60"/>
  <c r="P59"/>
  <c r="P58"/>
  <c r="E57"/>
  <c r="D57"/>
  <c r="P57" s="1"/>
  <c r="P56"/>
  <c r="P55"/>
  <c r="O54"/>
  <c r="N54"/>
  <c r="M54"/>
  <c r="L54"/>
  <c r="K54"/>
  <c r="J54"/>
  <c r="I54"/>
  <c r="G54"/>
  <c r="F54"/>
  <c r="D53"/>
  <c r="P53" s="1"/>
  <c r="P52"/>
  <c r="D52"/>
  <c r="O51"/>
  <c r="O50" s="1"/>
  <c r="O49" s="1"/>
  <c r="O48" s="1"/>
  <c r="O47" s="1"/>
  <c r="O46" s="1"/>
  <c r="O45" s="1"/>
  <c r="O44" s="1"/>
  <c r="N51"/>
  <c r="M51"/>
  <c r="M44" s="1"/>
  <c r="L51"/>
  <c r="K51"/>
  <c r="J51"/>
  <c r="I51"/>
  <c r="G51"/>
  <c r="F51"/>
  <c r="E51"/>
  <c r="P50"/>
  <c r="P49"/>
  <c r="N48"/>
  <c r="M48"/>
  <c r="L48"/>
  <c r="K48"/>
  <c r="J48"/>
  <c r="I48"/>
  <c r="I47" s="1"/>
  <c r="G48"/>
  <c r="F48"/>
  <c r="E48"/>
  <c r="D48"/>
  <c r="N45"/>
  <c r="M45"/>
  <c r="L45"/>
  <c r="K45"/>
  <c r="J45"/>
  <c r="G45"/>
  <c r="F45"/>
  <c r="E45"/>
  <c r="D45"/>
  <c r="P43"/>
  <c r="D43"/>
  <c r="D42"/>
  <c r="P42" s="1"/>
  <c r="E41"/>
  <c r="I40"/>
  <c r="D40"/>
  <c r="P40" s="1"/>
  <c r="D39"/>
  <c r="P39" s="1"/>
  <c r="P38"/>
  <c r="D38"/>
  <c r="D37"/>
  <c r="P37" s="1"/>
  <c r="O36"/>
  <c r="K36"/>
  <c r="J36"/>
  <c r="J35" s="1"/>
  <c r="I36"/>
  <c r="E36"/>
  <c r="D36" s="1"/>
  <c r="O35"/>
  <c r="N35"/>
  <c r="M35"/>
  <c r="L35"/>
  <c r="K35"/>
  <c r="D34"/>
  <c r="P34" s="1"/>
  <c r="I33"/>
  <c r="D33"/>
  <c r="D32" s="1"/>
  <c r="L32"/>
  <c r="L18" s="1"/>
  <c r="G32"/>
  <c r="F32"/>
  <c r="E32"/>
  <c r="D31"/>
  <c r="P31" s="1"/>
  <c r="P30"/>
  <c r="D30"/>
  <c r="M29"/>
  <c r="I29"/>
  <c r="E29"/>
  <c r="D29" s="1"/>
  <c r="P29" s="1"/>
  <c r="I28"/>
  <c r="E28"/>
  <c r="E18" s="1"/>
  <c r="E27"/>
  <c r="D27" s="1"/>
  <c r="P27" s="1"/>
  <c r="I25"/>
  <c r="D25"/>
  <c r="E24"/>
  <c r="D24" s="1"/>
  <c r="P24" s="1"/>
  <c r="D23"/>
  <c r="P23" s="1"/>
  <c r="E22"/>
  <c r="D22" s="1"/>
  <c r="P22" s="1"/>
  <c r="O20"/>
  <c r="I20" s="1"/>
  <c r="M20"/>
  <c r="M18" s="1"/>
  <c r="K20"/>
  <c r="K18" s="1"/>
  <c r="J20"/>
  <c r="E20"/>
  <c r="D20" s="1"/>
  <c r="O19"/>
  <c r="O18" s="1"/>
  <c r="K19"/>
  <c r="J19"/>
  <c r="I19"/>
  <c r="F19"/>
  <c r="F18" s="1"/>
  <c r="E19"/>
  <c r="D19"/>
  <c r="N18"/>
  <c r="J18"/>
  <c r="G18"/>
  <c r="O17"/>
  <c r="I17" s="1"/>
  <c r="K17"/>
  <c r="J17"/>
  <c r="J13" s="1"/>
  <c r="E17"/>
  <c r="D17" s="1"/>
  <c r="E16"/>
  <c r="D16"/>
  <c r="P16" s="1"/>
  <c r="O15"/>
  <c r="I15" s="1"/>
  <c r="K15"/>
  <c r="J15"/>
  <c r="F15"/>
  <c r="E15"/>
  <c r="D15" s="1"/>
  <c r="O14"/>
  <c r="O13" s="1"/>
  <c r="L14"/>
  <c r="I14" s="1"/>
  <c r="K14"/>
  <c r="K13" s="1"/>
  <c r="J14"/>
  <c r="G14"/>
  <c r="F14"/>
  <c r="E14"/>
  <c r="D14" s="1"/>
  <c r="G13"/>
  <c r="F13"/>
  <c r="E13"/>
  <c r="O84" i="12"/>
  <c r="I84" s="1"/>
  <c r="J84"/>
  <c r="J80" s="1"/>
  <c r="D84"/>
  <c r="I83"/>
  <c r="P83" s="1"/>
  <c r="I82"/>
  <c r="D82"/>
  <c r="I81"/>
  <c r="O80"/>
  <c r="N80"/>
  <c r="M80"/>
  <c r="L80"/>
  <c r="H80"/>
  <c r="G80"/>
  <c r="F80"/>
  <c r="E80"/>
  <c r="I79"/>
  <c r="P79" s="1"/>
  <c r="L78"/>
  <c r="L76" s="1"/>
  <c r="L73" s="1"/>
  <c r="H76"/>
  <c r="H73" s="1"/>
  <c r="G76"/>
  <c r="G73" s="1"/>
  <c r="F76"/>
  <c r="F73" s="1"/>
  <c r="E76"/>
  <c r="E73" s="1"/>
  <c r="D76"/>
  <c r="D73" s="1"/>
  <c r="O72"/>
  <c r="I72" s="1"/>
  <c r="P72" s="1"/>
  <c r="K70"/>
  <c r="J70"/>
  <c r="D71"/>
  <c r="D70" s="1"/>
  <c r="N70"/>
  <c r="M70"/>
  <c r="L70"/>
  <c r="I69"/>
  <c r="P69" s="1"/>
  <c r="I68"/>
  <c r="K67"/>
  <c r="K66" s="1"/>
  <c r="J67"/>
  <c r="J66" s="1"/>
  <c r="D68"/>
  <c r="N67"/>
  <c r="N66" s="1"/>
  <c r="M67"/>
  <c r="M66" s="1"/>
  <c r="L67"/>
  <c r="L66" s="1"/>
  <c r="E67"/>
  <c r="E66" s="1"/>
  <c r="I65"/>
  <c r="K63"/>
  <c r="I64"/>
  <c r="D64"/>
  <c r="O63"/>
  <c r="N63"/>
  <c r="M63"/>
  <c r="L63"/>
  <c r="H63"/>
  <c r="G63"/>
  <c r="G60" s="1"/>
  <c r="F63"/>
  <c r="E63"/>
  <c r="O62"/>
  <c r="O61" s="1"/>
  <c r="K62"/>
  <c r="K61" s="1"/>
  <c r="J62"/>
  <c r="J61" s="1"/>
  <c r="D62"/>
  <c r="D61" s="1"/>
  <c r="N61"/>
  <c r="M61"/>
  <c r="L61"/>
  <c r="E61"/>
  <c r="I59"/>
  <c r="D59"/>
  <c r="O58"/>
  <c r="K58"/>
  <c r="J58"/>
  <c r="J54" s="1"/>
  <c r="D58"/>
  <c r="D56"/>
  <c r="I55"/>
  <c r="D55"/>
  <c r="N53"/>
  <c r="M53"/>
  <c r="L53"/>
  <c r="H54"/>
  <c r="H53" s="1"/>
  <c r="G54"/>
  <c r="G53" s="1"/>
  <c r="F54"/>
  <c r="F53" s="1"/>
  <c r="E43"/>
  <c r="D43" s="1"/>
  <c r="O42"/>
  <c r="O31" s="1"/>
  <c r="N42"/>
  <c r="N31" s="1"/>
  <c r="M42"/>
  <c r="M31" s="1"/>
  <c r="L42"/>
  <c r="L31" s="1"/>
  <c r="K42"/>
  <c r="K31" s="1"/>
  <c r="J42"/>
  <c r="J31" s="1"/>
  <c r="I42"/>
  <c r="I31" s="1"/>
  <c r="G42"/>
  <c r="G31" s="1"/>
  <c r="F42"/>
  <c r="F31" s="1"/>
  <c r="I30"/>
  <c r="E30"/>
  <c r="D30" s="1"/>
  <c r="I29"/>
  <c r="O28"/>
  <c r="N28"/>
  <c r="M28"/>
  <c r="L28"/>
  <c r="K28"/>
  <c r="J28"/>
  <c r="H28"/>
  <c r="G28"/>
  <c r="F28"/>
  <c r="I22"/>
  <c r="K18"/>
  <c r="O19"/>
  <c r="O18" s="1"/>
  <c r="I18" s="1"/>
  <c r="J19"/>
  <c r="I17"/>
  <c r="I14" s="1"/>
  <c r="D17"/>
  <c r="O14"/>
  <c r="N14"/>
  <c r="M14"/>
  <c r="L14"/>
  <c r="K14"/>
  <c r="J14"/>
  <c r="H14"/>
  <c r="G14"/>
  <c r="F14"/>
  <c r="P47" i="11" l="1"/>
  <c r="I46"/>
  <c r="P46" s="1"/>
  <c r="K134"/>
  <c r="P33"/>
  <c r="E89"/>
  <c r="K114"/>
  <c r="P25"/>
  <c r="F44"/>
  <c r="F148" s="1"/>
  <c r="F156" s="1"/>
  <c r="K44"/>
  <c r="D72"/>
  <c r="P72" s="1"/>
  <c r="D81"/>
  <c r="J114"/>
  <c r="P119"/>
  <c r="I32"/>
  <c r="P32" s="1"/>
  <c r="N44"/>
  <c r="N148" s="1"/>
  <c r="N156" s="1"/>
  <c r="P75"/>
  <c r="L114"/>
  <c r="I122"/>
  <c r="P126"/>
  <c r="I35"/>
  <c r="G44"/>
  <c r="P48"/>
  <c r="P91"/>
  <c r="P116"/>
  <c r="D74"/>
  <c r="P74" s="1"/>
  <c r="I105"/>
  <c r="I104" s="1"/>
  <c r="H148"/>
  <c r="H156" s="1"/>
  <c r="I131"/>
  <c r="P131" s="1"/>
  <c r="O139"/>
  <c r="O134" s="1"/>
  <c r="I134" s="1"/>
  <c r="P134" s="1"/>
  <c r="L44"/>
  <c r="I44" s="1"/>
  <c r="E35"/>
  <c r="P93"/>
  <c r="N114"/>
  <c r="E124"/>
  <c r="E114" s="1"/>
  <c r="G148"/>
  <c r="G156" s="1"/>
  <c r="P17"/>
  <c r="I18"/>
  <c r="J44"/>
  <c r="I89"/>
  <c r="E104"/>
  <c r="E18" i="12"/>
  <c r="D18" s="1"/>
  <c r="N60"/>
  <c r="N85" s="1"/>
  <c r="I58"/>
  <c r="P58" s="1"/>
  <c r="O54"/>
  <c r="O53" s="1"/>
  <c r="I62"/>
  <c r="K54"/>
  <c r="K53" s="1"/>
  <c r="H60"/>
  <c r="H85" s="1"/>
  <c r="P50"/>
  <c r="D49"/>
  <c r="D47"/>
  <c r="P47" s="1"/>
  <c r="E49"/>
  <c r="E48" s="1"/>
  <c r="D19"/>
  <c r="P30"/>
  <c r="E53"/>
  <c r="P84"/>
  <c r="I28"/>
  <c r="F60"/>
  <c r="F85" s="1"/>
  <c r="E60"/>
  <c r="E28"/>
  <c r="P82"/>
  <c r="P64"/>
  <c r="M60"/>
  <c r="M85" s="1"/>
  <c r="I19"/>
  <c r="I61"/>
  <c r="D81"/>
  <c r="P81" s="1"/>
  <c r="G85"/>
  <c r="I80"/>
  <c r="P68"/>
  <c r="P45"/>
  <c r="J53"/>
  <c r="P17"/>
  <c r="E14"/>
  <c r="P15"/>
  <c r="D14"/>
  <c r="P36" i="11"/>
  <c r="P90"/>
  <c r="D89"/>
  <c r="P89" s="1"/>
  <c r="P101"/>
  <c r="P100" s="1"/>
  <c r="D100"/>
  <c r="K148"/>
  <c r="K156" s="1"/>
  <c r="P54"/>
  <c r="D102"/>
  <c r="P102" s="1"/>
  <c r="P103"/>
  <c r="E44"/>
  <c r="P20"/>
  <c r="J148"/>
  <c r="J156" s="1"/>
  <c r="P71"/>
  <c r="D70"/>
  <c r="P70" s="1"/>
  <c r="P106"/>
  <c r="D13"/>
  <c r="P15"/>
  <c r="M148"/>
  <c r="M156" s="1"/>
  <c r="P121"/>
  <c r="D98"/>
  <c r="D109"/>
  <c r="P109" s="1"/>
  <c r="I142"/>
  <c r="P142" s="1"/>
  <c r="P14"/>
  <c r="D41"/>
  <c r="P41" s="1"/>
  <c r="D77"/>
  <c r="P77" s="1"/>
  <c r="L96"/>
  <c r="I96" s="1"/>
  <c r="D115"/>
  <c r="P138"/>
  <c r="D28"/>
  <c r="P28" s="1"/>
  <c r="D51"/>
  <c r="D54"/>
  <c r="E100"/>
  <c r="E96" s="1"/>
  <c r="O117"/>
  <c r="D125"/>
  <c r="P19"/>
  <c r="L13"/>
  <c r="D88"/>
  <c r="P122"/>
  <c r="D146"/>
  <c r="E102"/>
  <c r="I135"/>
  <c r="P135" s="1"/>
  <c r="I45"/>
  <c r="P45" s="1"/>
  <c r="D54" i="12"/>
  <c r="P55"/>
  <c r="P61"/>
  <c r="I70"/>
  <c r="P70" s="1"/>
  <c r="P71"/>
  <c r="P59"/>
  <c r="K60"/>
  <c r="J60"/>
  <c r="P43"/>
  <c r="D42"/>
  <c r="P65"/>
  <c r="I63"/>
  <c r="D29"/>
  <c r="L60"/>
  <c r="L85" s="1"/>
  <c r="I78"/>
  <c r="I76" s="1"/>
  <c r="I73" s="1"/>
  <c r="P73" s="1"/>
  <c r="E42"/>
  <c r="I56"/>
  <c r="P56" s="1"/>
  <c r="D63"/>
  <c r="D22"/>
  <c r="P62"/>
  <c r="D67"/>
  <c r="O67"/>
  <c r="O66" s="1"/>
  <c r="O70"/>
  <c r="I139" i="11" l="1"/>
  <c r="P139" s="1"/>
  <c r="D105"/>
  <c r="P105" s="1"/>
  <c r="D18"/>
  <c r="P18" s="1"/>
  <c r="P19" i="12"/>
  <c r="I124" i="11"/>
  <c r="I54" i="12"/>
  <c r="I53" s="1"/>
  <c r="P49"/>
  <c r="D48"/>
  <c r="P63"/>
  <c r="K85"/>
  <c r="E31"/>
  <c r="E85" s="1"/>
  <c r="D85" s="1"/>
  <c r="O60"/>
  <c r="O85" s="1"/>
  <c r="P48"/>
  <c r="P44"/>
  <c r="D80"/>
  <c r="P80" s="1"/>
  <c r="D44"/>
  <c r="P18"/>
  <c r="J85"/>
  <c r="P14"/>
  <c r="E148" i="11"/>
  <c r="E156" s="1"/>
  <c r="I117"/>
  <c r="P117" s="1"/>
  <c r="O114"/>
  <c r="D35"/>
  <c r="P35" s="1"/>
  <c r="P146"/>
  <c r="D145"/>
  <c r="P125"/>
  <c r="D124"/>
  <c r="P124" s="1"/>
  <c r="P115"/>
  <c r="D97"/>
  <c r="P98"/>
  <c r="I13"/>
  <c r="P13" s="1"/>
  <c r="L148"/>
  <c r="P88"/>
  <c r="D87"/>
  <c r="P87" s="1"/>
  <c r="P51"/>
  <c r="P22" i="12"/>
  <c r="P78"/>
  <c r="D53"/>
  <c r="I67"/>
  <c r="I66" s="1"/>
  <c r="I60" s="1"/>
  <c r="P29"/>
  <c r="D28"/>
  <c r="P28" s="1"/>
  <c r="D66"/>
  <c r="P42"/>
  <c r="D104" i="11" l="1"/>
  <c r="P104" s="1"/>
  <c r="D31" i="12"/>
  <c r="P31" s="1"/>
  <c r="P67"/>
  <c r="P54"/>
  <c r="L156" i="11"/>
  <c r="P145"/>
  <c r="D144"/>
  <c r="P144" s="1"/>
  <c r="I114"/>
  <c r="O148"/>
  <c r="O156" s="1"/>
  <c r="D44"/>
  <c r="D96"/>
  <c r="P96" s="1"/>
  <c r="P97"/>
  <c r="D114"/>
  <c r="P66" i="12"/>
  <c r="D60"/>
  <c r="P60" s="1"/>
  <c r="P76"/>
  <c r="P53"/>
  <c r="I148" i="11" l="1"/>
  <c r="I156" s="1"/>
  <c r="P114"/>
  <c r="I85" i="12"/>
  <c r="P44" i="11"/>
  <c r="D148"/>
  <c r="P85" i="12" l="1"/>
  <c r="P148" i="11"/>
  <c r="P156" s="1"/>
  <c r="D156"/>
</calcChain>
</file>

<file path=xl/comments1.xml><?xml version="1.0" encoding="utf-8"?>
<comments xmlns="http://schemas.openxmlformats.org/spreadsheetml/2006/main">
  <authors>
    <author>User</author>
  </authors>
  <commentList>
    <comment ref="B5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5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<sst xmlns="http://schemas.openxmlformats.org/spreadsheetml/2006/main" count="1188" uniqueCount="352">
  <si>
    <t>Видатки загального фонду</t>
  </si>
  <si>
    <t>з них</t>
  </si>
  <si>
    <t>комунальні послуги та енергоносії</t>
  </si>
  <si>
    <t>Видатки спеціального фонду</t>
  </si>
  <si>
    <t>РАЗОМ</t>
  </si>
  <si>
    <t>Державне управління </t>
  </si>
  <si>
    <t>Освіта </t>
  </si>
  <si>
    <t>Соціальний захист та соціальне забезпечення </t>
  </si>
  <si>
    <t>Житлово-комунальне господарство </t>
  </si>
  <si>
    <t>Культура і мистецтво </t>
  </si>
  <si>
    <t>оплата праці з нарахуваннями</t>
  </si>
  <si>
    <t>Резервний фонд</t>
  </si>
  <si>
    <t>Фізична культура і спорт 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</si>
  <si>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</si>
  <si>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Охорона здоров'я</t>
  </si>
  <si>
    <t>0100</t>
  </si>
  <si>
    <t>0180</t>
  </si>
  <si>
    <t>0111</t>
  </si>
  <si>
    <t>1000</t>
  </si>
  <si>
    <t>0910</t>
  </si>
  <si>
    <t>1010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</si>
  <si>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</si>
  <si>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</si>
  <si>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</si>
  <si>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</si>
  <si>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</si>
  <si>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1060</t>
  </si>
  <si>
    <t>0922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</si>
  <si>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</si>
  <si>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</si>
  <si>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</si>
  <si>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1150</t>
  </si>
  <si>
    <t>0950</t>
  </si>
  <si>
    <t>0990</t>
  </si>
  <si>
    <t>2000</t>
  </si>
  <si>
    <t>2010</t>
  </si>
  <si>
    <t>0731</t>
  </si>
  <si>
    <t>Багатопрофільна стаціонарна медична допомога населенню</t>
  </si>
  <si>
    <t>0722</t>
  </si>
  <si>
    <t>3000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</si>
  <si>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</si>
  <si>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</si>
  <si>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3011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</si>
  <si>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</si>
  <si>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</si>
  <si>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</si>
  <si>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6000</t>
  </si>
  <si>
    <t>6010</t>
  </si>
  <si>
    <t>6030</t>
  </si>
  <si>
    <t>0620</t>
  </si>
  <si>
    <t>4000</t>
  </si>
  <si>
    <t>4060</t>
  </si>
  <si>
    <t>0824</t>
  </si>
  <si>
    <t>0828</t>
  </si>
  <si>
    <t>0829</t>
  </si>
  <si>
    <t>5000</t>
  </si>
  <si>
    <t>5010</t>
  </si>
  <si>
    <t>Проведення спортивної роботи в регіоні</t>
  </si>
  <si>
    <t>5011</t>
  </si>
  <si>
    <t>0810</t>
  </si>
  <si>
    <t>Проведення навчально-тренувальних зборів і змагань з олімпійських видів спорту</t>
  </si>
  <si>
    <t>0490</t>
  </si>
  <si>
    <t>0443</t>
  </si>
  <si>
    <t>3030</t>
  </si>
  <si>
    <t>1070</t>
  </si>
  <si>
    <t>0456</t>
  </si>
  <si>
    <t>7400</t>
  </si>
  <si>
    <t>0470</t>
  </si>
  <si>
    <t>Заходи з енергозбереження</t>
  </si>
  <si>
    <t>9100</t>
  </si>
  <si>
    <t>0540</t>
  </si>
  <si>
    <t>0133</t>
  </si>
  <si>
    <t>8000</t>
  </si>
  <si>
    <t>3031</t>
  </si>
  <si>
    <t>3012</t>
  </si>
  <si>
    <t>Надання пільг окремим категоріям громадян з оплати послуг зв'язку</t>
  </si>
  <si>
    <t>3040</t>
  </si>
  <si>
    <t>3041</t>
  </si>
  <si>
    <t>1040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</si>
  <si>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</si>
  <si>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</si>
  <si>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</si>
  <si>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</si>
  <si>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</si>
  <si>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</si>
  <si>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3045</t>
  </si>
  <si>
    <t>Надання допомоги на дітей одиноким матерям </t>
  </si>
  <si>
    <t>3046</t>
  </si>
  <si>
    <t>Надання тимчасової державної допомоги дітям </t>
  </si>
  <si>
    <t>3047</t>
  </si>
  <si>
    <t>Надання допомоги при усиновленні дитини </t>
  </si>
  <si>
    <t>Надання державної соціальної допомоги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</si>
  <si>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</si>
  <si>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</si>
  <si>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3110</t>
  </si>
  <si>
    <t>3112</t>
  </si>
  <si>
    <t>Заклади і заходи з питань дітей та їх соціального захисту</t>
  </si>
  <si>
    <t>3130</t>
  </si>
  <si>
    <t>Здійснення соціальної роботи з вразливими категоріями населення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</si>
  <si>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</si>
  <si>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</si>
  <si>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3100</t>
  </si>
  <si>
    <t>3104</t>
  </si>
  <si>
    <t>3180</t>
  </si>
  <si>
    <t>Соціальний захист ветеранів війни та праці</t>
  </si>
  <si>
    <t>3080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</si>
  <si>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</si>
  <si>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дітей та їх соціального захисту</t>
  </si>
  <si>
    <t>Заходи державної політики з питань сім'ї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</si>
  <si>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</si>
  <si>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</si>
  <si>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</si>
  <si>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Розвиток дитячо-юнацького та резервного спорту</t>
  </si>
  <si>
    <t>5030</t>
  </si>
  <si>
    <t>5031</t>
  </si>
  <si>
    <t>Реалізація  державної політики у молодіжній сфері</t>
  </si>
  <si>
    <t>Інші заходи та заклади молодіжної політики</t>
  </si>
  <si>
    <t>Утримання та навчально-тренувальна робота комунальних дитячо-юнацьких спортивних шкіл 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</si>
  <si>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</si>
  <si>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</si>
  <si>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</si>
  <si>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</si>
  <si>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</si>
  <si>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7300</t>
  </si>
  <si>
    <t>7310</t>
  </si>
  <si>
    <t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</si>
  <si>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</si>
  <si>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2100</t>
  </si>
  <si>
    <t>0160</t>
  </si>
  <si>
    <t>1140</t>
  </si>
  <si>
    <t>1160</t>
  </si>
  <si>
    <t>Інші програми, заклади та заходи у сфері овіти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</si>
  <si>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</si>
  <si>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</si>
  <si>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3120</t>
  </si>
  <si>
    <t>3121</t>
  </si>
  <si>
    <t>Утримання та забезпечення діяльності центрів соціальних служб для сім'ї, дітей та молоді</t>
  </si>
  <si>
    <t>3123</t>
  </si>
  <si>
    <t>3133</t>
  </si>
  <si>
    <t>4030</t>
  </si>
  <si>
    <t>4040</t>
  </si>
  <si>
    <t>Забезпечення діяльності музеїв і виставок</t>
  </si>
  <si>
    <t>Забезпечення діяльності бібліотек</t>
  </si>
  <si>
    <t>Забезпечення діяльності палаців і будинків культури, клубів, центрів дозвілля та інших  клубних закладів </t>
  </si>
  <si>
    <t>4080</t>
  </si>
  <si>
    <t>Інші заклади та заходи в галузі  культури і мистецтва</t>
  </si>
  <si>
    <t>Надання дошкільної освіти</t>
  </si>
  <si>
    <t>Транспорт та транспортна інфраструктура, дорожнє господарство</t>
  </si>
  <si>
    <t>7460</t>
  </si>
  <si>
    <t xml:space="preserve">Утримання та розвиток автомобільних доріг та дорожньої інфраструктури </t>
  </si>
  <si>
    <t>Утримання та розвиток автомобільних  доріг та дорожньої інфрасттруктури за рахунок коштів місцевого бюджету</t>
  </si>
  <si>
    <t>7461</t>
  </si>
  <si>
    <t>Інша діяльність</t>
  </si>
  <si>
    <t>7100</t>
  </si>
  <si>
    <t>Здійснення заходів із землеустрою</t>
  </si>
  <si>
    <t>7000</t>
  </si>
  <si>
    <t>Економічна діяльність</t>
  </si>
  <si>
    <t>Будівництво та регіональний розвиток</t>
  </si>
  <si>
    <t>Будівництво об'єктів житлово-комунального господарства</t>
  </si>
  <si>
    <t>Організація благоустрою населених пунктів</t>
  </si>
  <si>
    <t>Надання пільг  на  оплату житлово-комунальних  послуг окремим категоріям громадян відповідно до законодавства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</si>
  <si>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</si>
  <si>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3022</t>
  </si>
  <si>
    <t>Надання пільг з оплати послуг зв'язку,  інших передбачених законодавством пільг окремим категоріям громадян  та компенсації за пільговий проїзд окремих категорій громадян</t>
  </si>
  <si>
    <t>Надання інших пільг окремим категоріям громадян відповідно до законодавства</t>
  </si>
  <si>
    <t>3032</t>
  </si>
  <si>
    <t>3160</t>
  </si>
  <si>
    <t>6011</t>
  </si>
  <si>
    <t>6013</t>
  </si>
  <si>
    <t>Забезпечення діяльності водопроводно-каналізаційного господарства</t>
  </si>
  <si>
    <t>Забезпечення діяльності з виробництва, транспортування, постачання теплової енергії</t>
  </si>
  <si>
    <t>6012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</si>
  <si>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</si>
  <si>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</si>
  <si>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</si>
  <si>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7130</t>
  </si>
  <si>
    <t>Реалізація інших заходів щодо соціально-економічного розвитку територій</t>
  </si>
  <si>
    <t>7600</t>
  </si>
  <si>
    <t>Інші програми та заходи, пов'язані з економічною діяльністю</t>
  </si>
  <si>
    <t>7640</t>
  </si>
  <si>
    <t>7670</t>
  </si>
  <si>
    <t>Внески до статутного капіталу суб'єктів господарювання</t>
  </si>
  <si>
    <t>8300</t>
  </si>
  <si>
    <t>Охорона навколишнього природного середовища</t>
  </si>
  <si>
    <t>Інша діяльність у сфері державного управління</t>
  </si>
  <si>
    <t>7650</t>
  </si>
  <si>
    <t>Проведення експертної грошової оцінки земельної ділянки чи права на неї</t>
  </si>
  <si>
    <t>8700</t>
  </si>
  <si>
    <t>9000</t>
  </si>
  <si>
    <t>Міжбюджетні трансферти</t>
  </si>
  <si>
    <t>9110</t>
  </si>
  <si>
    <t>Реверсна дотація</t>
  </si>
  <si>
    <t>7680</t>
  </si>
  <si>
    <t>Членські внески до асоціацій органів місцевого самоврядування</t>
  </si>
  <si>
    <t>7610</t>
  </si>
  <si>
    <t>0411</t>
  </si>
  <si>
    <t>Сприяння розвитку малого та середнього підприємництва</t>
  </si>
  <si>
    <t>8310</t>
  </si>
  <si>
    <t>Запобігання та ліквідація забруднення навколишнього природного середовища</t>
  </si>
  <si>
    <t>1050</t>
  </si>
  <si>
    <t>Організація та проведення громадських робіт</t>
  </si>
  <si>
    <t>6015</t>
  </si>
  <si>
    <t>Забезпечення надійної та безперебійної експлуатації ліфтів</t>
  </si>
  <si>
    <t>0610</t>
  </si>
  <si>
    <t>7690</t>
  </si>
  <si>
    <t>Інша економічна діяльність</t>
  </si>
  <si>
    <t>8311</t>
  </si>
  <si>
    <t>0511</t>
  </si>
  <si>
    <t xml:space="preserve">Охорона та раціональне використання природних ресурсів </t>
  </si>
  <si>
    <t>8340</t>
  </si>
  <si>
    <t>Природоохоронні заходи за рахунок цільових фондів</t>
  </si>
  <si>
    <t>7350</t>
  </si>
  <si>
    <t>6082</t>
  </si>
  <si>
    <t>Придбання житла для окремих категорій населення відповідно до законодавства</t>
  </si>
  <si>
    <t>Програми і централізовані заходи у галузі охорони здоров’я</t>
  </si>
  <si>
    <t>2140</t>
  </si>
  <si>
    <t>Централізовані заходи з лікування хворих на цукровий та нецукровий діабет</t>
  </si>
  <si>
    <t>Відшкодування вартості лікарських засобів для лікування окремих захворювань</t>
  </si>
  <si>
    <t>2144</t>
  </si>
  <si>
    <t>2146</t>
  </si>
  <si>
    <t>0763</t>
  </si>
  <si>
    <t>Інші заклади та заходи</t>
  </si>
  <si>
    <t>Захист населення і територій від надзвичайних ситуацій техногенного та природного характеру</t>
  </si>
  <si>
    <t>8100</t>
  </si>
  <si>
    <t>8110</t>
  </si>
  <si>
    <t>0320</t>
  </si>
  <si>
    <t>Утримання та ефективна експлуатація об’єктів житлово-комунального господарства</t>
  </si>
  <si>
    <t>Експлуатація та технічне обслуговування житлового фонду</t>
  </si>
  <si>
    <t>1161</t>
  </si>
  <si>
    <t>Забезпечення діяльності інших закладів у сфері освіти</t>
  </si>
  <si>
    <t>4081</t>
  </si>
  <si>
    <t>4082</t>
  </si>
  <si>
    <t>Забезпечення діяльності інших закладів в галузі кульури  і мистецтва</t>
  </si>
  <si>
    <t>Інші заходи в галузі культури і мистецтва</t>
  </si>
  <si>
    <t>7370</t>
  </si>
  <si>
    <t>7693</t>
  </si>
  <si>
    <t xml:space="preserve">Заходи із запобігання та ліквідації надзвичайних ситуацій та наслідків  стихійного лиха </t>
  </si>
  <si>
    <t>3210</t>
  </si>
  <si>
    <t>Надання допомоги сім'ям з дітьми, малозабезпеченим сім'ям,  тимчасової допомоги дітям</t>
  </si>
  <si>
    <t>Надання допомоги особам з інвалідністю, дітям з інвалідністю, особам, які не мають права на пенсію , непрацюючий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 за особою, яка досягла 80-річного віку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</si>
  <si>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</si>
  <si>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</si>
  <si>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</si>
  <si>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</si>
  <si>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Надання соціальних та реабілітаційних послуг громадянам похилого віку, особам з інвалідністю, дітям з інвалідністю  в установах соціального обслуговування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</si>
  <si>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</si>
  <si>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</si>
  <si>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3190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</si>
  <si>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</si>
  <si>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</si>
  <si>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3240</t>
  </si>
  <si>
    <t>3242</t>
  </si>
  <si>
    <t>Інші заходи у сфері соціального захисту і соціального забезпечення</t>
  </si>
  <si>
    <t>Керівництво і управління у відповідній сфері у містах (місті Києві ), селищах, селах, об'єднаних територіальних громадах</t>
  </si>
  <si>
    <t>Підвищення кваліфікації, перепідготовка кадрів  закладами післядипломної освіти</t>
  </si>
  <si>
    <t xml:space="preserve">Методичне забезпечення діяльності навчальних закладів </t>
  </si>
  <si>
    <t>Стоматологічна допомога населенню</t>
  </si>
  <si>
    <t>Розроблення схем планування та забудови території (містобудівної документації)</t>
  </si>
  <si>
    <t>Сільське, лісове, рибне господарство та мисливство</t>
  </si>
  <si>
    <t>Інші заходи, пов'язані з економічною діяльністю</t>
  </si>
  <si>
    <t>Дотації з місцевого бюджету іншим</t>
  </si>
  <si>
    <t>1162</t>
  </si>
  <si>
    <t>Інші програми та заходи у сфері освіти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</si>
  <si>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</si>
  <si>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3082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</si>
  <si>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</si>
  <si>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</si>
  <si>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</si>
  <si>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</si>
  <si>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</si>
  <si>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</si>
  <si>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за типовою програмною  класифікацією видатків та кредитування місцевих бюджетів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</si>
  <si>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</si>
  <si>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</si>
  <si>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9770</t>
  </si>
  <si>
    <t>Інші субвенції з місцевого бюджету</t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</si>
  <si>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</si>
  <si>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</si>
  <si>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видатки споживання</t>
  </si>
  <si>
    <t xml:space="preserve">видатки розвитку 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</si>
  <si>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</si>
  <si>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</si>
  <si>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</si>
  <si>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усього</t>
  </si>
  <si>
    <t>у тому числі бюджет розвитку</t>
  </si>
  <si>
    <t>видатки розвитку</t>
  </si>
  <si>
    <t>з них капітальні видатки за рахунок коштів, що передаються із загального фонду до бюджету розвитку (спеціального фонду)</t>
  </si>
  <si>
    <t>Одеської області</t>
  </si>
  <si>
    <t>15=4+9</t>
  </si>
  <si>
    <t>(грн.)</t>
  </si>
  <si>
    <t>Додаток 4</t>
  </si>
  <si>
    <t>7462</t>
  </si>
  <si>
    <t>Утримання та розвиток автомобільних  доріг та дорожньої інфраструктури за рахунок коштів місцевого бюджету</t>
  </si>
  <si>
    <t>Утримання та розвиток автомобільних  доріг та дорожньої інфраструктури за рахунок субвенції з державного бюджету</t>
  </si>
  <si>
    <t xml:space="preserve">Зміни та доповнення до видатків  бюджету  міста  Чорноморська на 2019 рік  за програмною  класифікацію видатків та кредитування місцевих бюджетів </t>
  </si>
  <si>
    <t xml:space="preserve">до рішення Чорноморської міської ради </t>
  </si>
  <si>
    <t>від  25.01.2019р. №   382-VII</t>
  </si>
  <si>
    <t>Розподіл видатків бюджету міста Чорноморська на 2019 рік</t>
  </si>
  <si>
    <t>за рахунок коштів медичної субвенції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</si>
  <si>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</si>
  <si>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</si>
  <si>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3048</t>
  </si>
  <si>
    <t>Надання при народженні дитини одноразової натуральної допомоги "Пакунок малюка"</t>
  </si>
  <si>
    <t>3050</t>
  </si>
  <si>
    <t>Пільгове медичне обслуговування осіб, які постраждали внаслідок Чорнобильської катастрофи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</si>
  <si>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</si>
  <si>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</si>
  <si>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3090</t>
  </si>
  <si>
    <t>Видатки на поховання учасників бойових дій та осіб з інвалідністю внаслідок війни</t>
  </si>
  <si>
    <t>3170</t>
  </si>
  <si>
    <t>Забезпечення реалізації окремих програм для осіб з інвалідністю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</si>
  <si>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</si>
  <si>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</si>
  <si>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</si>
  <si>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</si>
  <si>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8200</t>
  </si>
  <si>
    <t>Громадський порядок та безпека</t>
  </si>
  <si>
    <t>8220</t>
  </si>
  <si>
    <t>0380</t>
  </si>
  <si>
    <t>Заходи та роботи з мобілізаційної підготовки місцевого значення</t>
  </si>
  <si>
    <t>Вик. О.М. Яковенко</t>
  </si>
  <si>
    <t>дод.5</t>
  </si>
  <si>
    <t>відхилення</t>
  </si>
  <si>
    <t>Додаток 3</t>
  </si>
  <si>
    <t>1170</t>
  </si>
  <si>
    <t>Забезпечення діяльності інклюзивно - ресурсних центрів</t>
  </si>
  <si>
    <t>8210</t>
  </si>
  <si>
    <t>Муніципальні формування з охорони громадського порядку</t>
  </si>
  <si>
    <t>3087</t>
  </si>
  <si>
    <t>Надання допомоги на дітей, які виховуються у багатодітних сім'ях</t>
  </si>
  <si>
    <t>Надання допомоги особам з інвалідністю, дітям з інвалідністю, особам, які не мають права на пенсію ,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 за особою, яка досягла 80-річного віку, допомоги на дітей, які виховуються у багатодітних сім'ях</t>
  </si>
  <si>
    <t>оплата комунальних послуг</t>
  </si>
  <si>
    <t>продукти харчування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</si>
  <si>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</si>
  <si>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 xml:space="preserve">Секретар міської ради </t>
  </si>
  <si>
    <t>О. П. Лисиця</t>
  </si>
  <si>
    <t>від  09.04.2019р. № 414 - VII</t>
  </si>
  <si>
    <t>проверка (первоначальный + квітень)</t>
  </si>
  <si>
    <t>зі змінами</t>
  </si>
  <si>
    <t>Відшкодування послуги з догляду за дитиною до трьох років "муніципальна няня"</t>
  </si>
  <si>
    <t>3049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</si>
  <si>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</si>
  <si>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 xml:space="preserve">  
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 допомоги на дітей, які виховуються у багатодітних сім'ях</t>
  </si>
  <si>
    <t>Дотації з місцевого бюджету іншим бюджетам</t>
  </si>
  <si>
    <t>(зі змінами, внесеними рішенням</t>
  </si>
  <si>
    <t>Чорноморської міської ради Одеської області</t>
  </si>
  <si>
    <t>від 09.04.2019р. № 414-VII)</t>
  </si>
  <si>
    <t>Керуюча справами</t>
  </si>
  <si>
    <t>Н.В.Кушніренко</t>
  </si>
  <si>
    <t>Додаток 2</t>
  </si>
  <si>
    <t xml:space="preserve">до рішення виконавчого комітету </t>
  </si>
  <si>
    <t xml:space="preserve">від                           2019р. №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</si>
</sst>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#,##0_ ;\-#,##0\ "/>
  </numFmts>
  <fonts count="5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</font>
    <font>
      <sz val="10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2"/>
      <name val="Calibri"/>
      <family val="2"/>
      <charset val="204"/>
    </font>
    <font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</font>
    <font>
      <sz val="14"/>
      <name val="Calibri"/>
      <family val="2"/>
      <charset val="204"/>
    </font>
    <font>
      <sz val="12"/>
      <name val="Calibri"/>
      <family val="2"/>
      <charset val="204"/>
    </font>
    <font>
      <b/>
      <i/>
      <sz val="14"/>
      <name val="Times New Roman"/>
      <family val="1"/>
      <charset val="204"/>
    </font>
    <font>
      <b/>
      <i/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16" fillId="2" borderId="0" xfId="0" applyFont="1" applyFill="1"/>
    <xf numFmtId="0" fontId="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wrapText="1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3" fillId="2" borderId="0" xfId="0" applyFont="1" applyFill="1"/>
    <xf numFmtId="0" fontId="12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horizontal="left" wrapText="1"/>
    </xf>
    <xf numFmtId="0" fontId="17" fillId="2" borderId="0" xfId="0" applyFont="1" applyFill="1"/>
    <xf numFmtId="0" fontId="18" fillId="2" borderId="0" xfId="0" applyFont="1" applyFill="1"/>
    <xf numFmtId="0" fontId="16" fillId="2" borderId="0" xfId="0" applyFont="1" applyFill="1" applyAlignment="1">
      <alignment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10" fillId="2" borderId="0" xfId="0" applyFont="1" applyFill="1"/>
    <xf numFmtId="0" fontId="11" fillId="2" borderId="1" xfId="0" applyFont="1" applyFill="1" applyBorder="1" applyAlignment="1">
      <alignment wrapText="1"/>
    </xf>
    <xf numFmtId="0" fontId="22" fillId="2" borderId="0" xfId="0" applyFont="1" applyFill="1"/>
    <xf numFmtId="0" fontId="19" fillId="2" borderId="0" xfId="0" applyFont="1" applyFill="1" applyAlignment="1">
      <alignment wrapText="1"/>
    </xf>
    <xf numFmtId="0" fontId="19" fillId="2" borderId="1" xfId="0" applyFont="1" applyFill="1" applyBorder="1" applyAlignment="1">
      <alignment wrapText="1"/>
    </xf>
    <xf numFmtId="0" fontId="9" fillId="2" borderId="0" xfId="0" applyFont="1" applyFill="1"/>
    <xf numFmtId="165" fontId="9" fillId="2" borderId="0" xfId="0" applyNumberFormat="1" applyFont="1" applyFill="1"/>
    <xf numFmtId="0" fontId="3" fillId="2" borderId="1" xfId="0" applyFont="1" applyFill="1" applyBorder="1" applyAlignment="1">
      <alignment wrapText="1"/>
    </xf>
    <xf numFmtId="0" fontId="21" fillId="2" borderId="0" xfId="0" applyFont="1" applyFill="1" applyAlignment="1">
      <alignment wrapText="1"/>
    </xf>
    <xf numFmtId="0" fontId="16" fillId="2" borderId="0" xfId="0" applyFont="1" applyFill="1" applyAlignment="1"/>
    <xf numFmtId="0" fontId="20" fillId="2" borderId="1" xfId="0" applyFont="1" applyFill="1" applyBorder="1" applyAlignment="1">
      <alignment wrapText="1"/>
    </xf>
    <xf numFmtId="0" fontId="3" fillId="2" borderId="0" xfId="0" applyFont="1" applyFill="1"/>
    <xf numFmtId="0" fontId="21" fillId="2" borderId="1" xfId="0" applyFont="1" applyFill="1" applyBorder="1" applyAlignment="1">
      <alignment wrapText="1"/>
    </xf>
    <xf numFmtId="49" fontId="11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0" xfId="0" applyFont="1" applyFill="1" applyAlignment="1"/>
    <xf numFmtId="0" fontId="19" fillId="2" borderId="0" xfId="0" applyFont="1" applyFill="1" applyAlignment="1"/>
    <xf numFmtId="0" fontId="20" fillId="2" borderId="0" xfId="0" applyFont="1" applyFill="1" applyAlignment="1"/>
    <xf numFmtId="0" fontId="3" fillId="2" borderId="1" xfId="3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3" fillId="2" borderId="1" xfId="1" applyFont="1" applyFill="1" applyBorder="1" applyAlignment="1">
      <alignment horizontal="left" wrapText="1"/>
    </xf>
    <xf numFmtId="0" fontId="7" fillId="2" borderId="1" xfId="3" applyFont="1" applyFill="1" applyBorder="1" applyAlignment="1">
      <alignment wrapText="1"/>
    </xf>
    <xf numFmtId="0" fontId="8" fillId="2" borderId="1" xfId="2" applyFont="1" applyFill="1" applyBorder="1" applyAlignment="1">
      <alignment wrapText="1"/>
    </xf>
    <xf numFmtId="0" fontId="7" fillId="2" borderId="1" xfId="2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0" fontId="8" fillId="2" borderId="1" xfId="3" applyFont="1" applyFill="1" applyBorder="1" applyAlignment="1">
      <alignment wrapText="1"/>
    </xf>
    <xf numFmtId="0" fontId="11" fillId="2" borderId="0" xfId="0" applyFont="1" applyFill="1"/>
    <xf numFmtId="49" fontId="24" fillId="2" borderId="1" xfId="0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0" fontId="7" fillId="2" borderId="0" xfId="0" applyFont="1" applyFill="1"/>
    <xf numFmtId="0" fontId="8" fillId="2" borderId="0" xfId="0" applyFont="1" applyFill="1"/>
    <xf numFmtId="49" fontId="26" fillId="2" borderId="1" xfId="0" applyNumberFormat="1" applyFont="1" applyFill="1" applyBorder="1" applyAlignment="1">
      <alignment horizontal="center"/>
    </xf>
    <xf numFmtId="0" fontId="27" fillId="2" borderId="0" xfId="0" applyFont="1" applyFill="1"/>
    <xf numFmtId="0" fontId="19" fillId="2" borderId="1" xfId="0" applyFont="1" applyFill="1" applyBorder="1" applyAlignment="1"/>
    <xf numFmtId="165" fontId="29" fillId="2" borderId="0" xfId="0" applyNumberFormat="1" applyFont="1" applyFill="1"/>
    <xf numFmtId="0" fontId="25" fillId="2" borderId="0" xfId="0" applyFont="1" applyFill="1" applyAlignment="1">
      <alignment horizontal="left"/>
    </xf>
    <xf numFmtId="164" fontId="25" fillId="2" borderId="0" xfId="0" applyNumberFormat="1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wrapText="1"/>
    </xf>
    <xf numFmtId="165" fontId="7" fillId="2" borderId="0" xfId="0" applyNumberFormat="1" applyFont="1" applyFill="1" applyBorder="1" applyAlignment="1">
      <alignment horizontal="center"/>
    </xf>
    <xf numFmtId="165" fontId="31" fillId="2" borderId="0" xfId="0" applyNumberFormat="1" applyFont="1" applyFill="1"/>
    <xf numFmtId="165" fontId="32" fillId="2" borderId="0" xfId="0" applyNumberFormat="1" applyFont="1" applyFill="1"/>
    <xf numFmtId="165" fontId="30" fillId="2" borderId="0" xfId="0" applyNumberFormat="1" applyFont="1" applyFill="1"/>
    <xf numFmtId="165" fontId="29" fillId="2" borderId="0" xfId="0" applyNumberFormat="1" applyFont="1" applyFill="1" applyAlignment="1"/>
    <xf numFmtId="0" fontId="20" fillId="2" borderId="1" xfId="0" applyFont="1" applyFill="1" applyBorder="1" applyAlignment="1"/>
    <xf numFmtId="0" fontId="9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/>
    </xf>
    <xf numFmtId="0" fontId="16" fillId="3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165" fontId="7" fillId="3" borderId="0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/>
    <xf numFmtId="165" fontId="11" fillId="2" borderId="0" xfId="0" applyNumberFormat="1" applyFont="1" applyFill="1"/>
    <xf numFmtId="165" fontId="2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>
      <alignment wrapText="1"/>
    </xf>
    <xf numFmtId="3" fontId="16" fillId="2" borderId="0" xfId="0" applyNumberFormat="1" applyFont="1" applyFill="1"/>
    <xf numFmtId="0" fontId="34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wrapText="1"/>
    </xf>
    <xf numFmtId="3" fontId="35" fillId="2" borderId="0" xfId="0" applyNumberFormat="1" applyFont="1" applyFill="1"/>
    <xf numFmtId="0" fontId="35" fillId="2" borderId="0" xfId="0" applyFont="1" applyFill="1"/>
    <xf numFmtId="165" fontId="35" fillId="2" borderId="0" xfId="0" applyNumberFormat="1" applyFont="1" applyFill="1"/>
    <xf numFmtId="0" fontId="11" fillId="2" borderId="1" xfId="3" applyFont="1" applyFill="1" applyBorder="1" applyAlignment="1">
      <alignment wrapText="1"/>
    </xf>
    <xf numFmtId="4" fontId="33" fillId="2" borderId="1" xfId="0" applyNumberFormat="1" applyFont="1" applyFill="1" applyBorder="1" applyAlignment="1">
      <alignment horizontal="center"/>
    </xf>
    <xf numFmtId="4" fontId="34" fillId="2" borderId="1" xfId="0" applyNumberFormat="1" applyFont="1" applyFill="1" applyBorder="1" applyAlignment="1">
      <alignment horizontal="center"/>
    </xf>
    <xf numFmtId="4" fontId="34" fillId="3" borderId="1" xfId="0" applyNumberFormat="1" applyFont="1" applyFill="1" applyBorder="1" applyAlignment="1">
      <alignment horizontal="center"/>
    </xf>
    <xf numFmtId="4" fontId="33" fillId="2" borderId="1" xfId="3" applyNumberFormat="1" applyFont="1" applyFill="1" applyBorder="1" applyAlignment="1">
      <alignment horizontal="center"/>
    </xf>
    <xf numFmtId="4" fontId="34" fillId="2" borderId="1" xfId="3" applyNumberFormat="1" applyFont="1" applyFill="1" applyBorder="1" applyAlignment="1">
      <alignment horizontal="center"/>
    </xf>
    <xf numFmtId="4" fontId="34" fillId="3" borderId="1" xfId="3" applyNumberFormat="1" applyFont="1" applyFill="1" applyBorder="1" applyAlignment="1">
      <alignment horizontal="center"/>
    </xf>
    <xf numFmtId="4" fontId="33" fillId="3" borderId="1" xfId="0" applyNumberFormat="1" applyFont="1" applyFill="1" applyBorder="1" applyAlignment="1">
      <alignment horizontal="center"/>
    </xf>
    <xf numFmtId="4" fontId="28" fillId="2" borderId="1" xfId="0" applyNumberFormat="1" applyFont="1" applyFill="1" applyBorder="1" applyAlignment="1">
      <alignment horizontal="center"/>
    </xf>
    <xf numFmtId="4" fontId="28" fillId="3" borderId="1" xfId="0" applyNumberFormat="1" applyFont="1" applyFill="1" applyBorder="1" applyAlignment="1">
      <alignment horizontal="center"/>
    </xf>
    <xf numFmtId="4" fontId="33" fillId="3" borderId="1" xfId="3" applyNumberFormat="1" applyFont="1" applyFill="1" applyBorder="1" applyAlignment="1">
      <alignment horizontal="center"/>
    </xf>
    <xf numFmtId="4" fontId="28" fillId="2" borderId="1" xfId="3" applyNumberFormat="1" applyFont="1" applyFill="1" applyBorder="1" applyAlignment="1">
      <alignment horizontal="center"/>
    </xf>
    <xf numFmtId="4" fontId="28" fillId="3" borderId="1" xfId="3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left"/>
    </xf>
    <xf numFmtId="0" fontId="16" fillId="2" borderId="1" xfId="0" applyFont="1" applyFill="1" applyBorder="1" applyAlignment="1">
      <alignment horizontal="center" vertical="center" wrapText="1"/>
    </xf>
    <xf numFmtId="3" fontId="33" fillId="2" borderId="1" xfId="0" applyNumberFormat="1" applyFont="1" applyFill="1" applyBorder="1" applyAlignment="1">
      <alignment horizontal="center"/>
    </xf>
    <xf numFmtId="3" fontId="33" fillId="3" borderId="1" xfId="0" applyNumberFormat="1" applyFont="1" applyFill="1" applyBorder="1" applyAlignment="1">
      <alignment horizontal="center"/>
    </xf>
    <xf numFmtId="3" fontId="34" fillId="2" borderId="1" xfId="0" applyNumberFormat="1" applyFont="1" applyFill="1" applyBorder="1" applyAlignment="1">
      <alignment horizontal="center"/>
    </xf>
    <xf numFmtId="3" fontId="34" fillId="3" borderId="1" xfId="0" applyNumberFormat="1" applyFont="1" applyFill="1" applyBorder="1" applyAlignment="1">
      <alignment horizontal="center"/>
    </xf>
    <xf numFmtId="0" fontId="26" fillId="2" borderId="1" xfId="0" applyFont="1" applyFill="1" applyBorder="1" applyAlignment="1">
      <alignment wrapText="1"/>
    </xf>
    <xf numFmtId="3" fontId="37" fillId="2" borderId="1" xfId="0" applyNumberFormat="1" applyFont="1" applyFill="1" applyBorder="1" applyAlignment="1">
      <alignment horizontal="center"/>
    </xf>
    <xf numFmtId="3" fontId="38" fillId="2" borderId="1" xfId="0" applyNumberFormat="1" applyFont="1" applyFill="1" applyBorder="1" applyAlignment="1">
      <alignment horizontal="center"/>
    </xf>
    <xf numFmtId="3" fontId="38" fillId="3" borderId="1" xfId="0" applyNumberFormat="1" applyFont="1" applyFill="1" applyBorder="1" applyAlignment="1">
      <alignment horizontal="center"/>
    </xf>
    <xf numFmtId="3" fontId="28" fillId="2" borderId="1" xfId="0" applyNumberFormat="1" applyFont="1" applyFill="1" applyBorder="1" applyAlignment="1">
      <alignment horizontal="center"/>
    </xf>
    <xf numFmtId="0" fontId="36" fillId="2" borderId="0" xfId="0" applyFont="1" applyFill="1"/>
    <xf numFmtId="165" fontId="39" fillId="2" borderId="0" xfId="0" applyNumberFormat="1" applyFont="1" applyFill="1"/>
    <xf numFmtId="3" fontId="28" fillId="3" borderId="1" xfId="0" applyNumberFormat="1" applyFont="1" applyFill="1" applyBorder="1" applyAlignment="1">
      <alignment horizontal="center"/>
    </xf>
    <xf numFmtId="3" fontId="33" fillId="2" borderId="1" xfId="3" applyNumberFormat="1" applyFont="1" applyFill="1" applyBorder="1" applyAlignment="1">
      <alignment horizontal="center"/>
    </xf>
    <xf numFmtId="3" fontId="34" fillId="2" borderId="1" xfId="3" applyNumberFormat="1" applyFont="1" applyFill="1" applyBorder="1" applyAlignment="1">
      <alignment horizontal="center"/>
    </xf>
    <xf numFmtId="3" fontId="34" fillId="3" borderId="1" xfId="3" applyNumberFormat="1" applyFont="1" applyFill="1" applyBorder="1" applyAlignment="1">
      <alignment horizontal="center"/>
    </xf>
    <xf numFmtId="3" fontId="28" fillId="2" borderId="1" xfId="3" applyNumberFormat="1" applyFont="1" applyFill="1" applyBorder="1" applyAlignment="1">
      <alignment horizontal="center"/>
    </xf>
    <xf numFmtId="3" fontId="28" fillId="3" borderId="1" xfId="3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vertical="top" wrapText="1"/>
    </xf>
    <xf numFmtId="0" fontId="12" fillId="2" borderId="0" xfId="0" applyFont="1" applyFill="1"/>
    <xf numFmtId="165" fontId="12" fillId="2" borderId="0" xfId="0" applyNumberFormat="1" applyFont="1" applyFill="1"/>
    <xf numFmtId="0" fontId="11" fillId="2" borderId="1" xfId="2" applyFont="1" applyFill="1" applyBorder="1" applyAlignment="1">
      <alignment wrapText="1"/>
    </xf>
    <xf numFmtId="0" fontId="40" fillId="2" borderId="0" xfId="0" applyFont="1" applyFill="1"/>
    <xf numFmtId="165" fontId="41" fillId="2" borderId="0" xfId="0" applyNumberFormat="1" applyFont="1" applyFill="1"/>
    <xf numFmtId="165" fontId="42" fillId="2" borderId="0" xfId="0" applyNumberFormat="1" applyFont="1" applyFill="1"/>
    <xf numFmtId="3" fontId="43" fillId="2" borderId="1" xfId="0" applyNumberFormat="1" applyFont="1" applyFill="1" applyBorder="1" applyAlignment="1">
      <alignment horizontal="center"/>
    </xf>
    <xf numFmtId="3" fontId="43" fillId="3" borderId="1" xfId="0" applyNumberFormat="1" applyFont="1" applyFill="1" applyBorder="1" applyAlignment="1">
      <alignment horizontal="center"/>
    </xf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1" fillId="2" borderId="0" xfId="0" applyFont="1" applyFill="1" applyAlignment="1"/>
    <xf numFmtId="165" fontId="11" fillId="2" borderId="0" xfId="0" applyNumberFormat="1" applyFont="1" applyFill="1" applyAlignment="1"/>
    <xf numFmtId="165" fontId="44" fillId="2" borderId="0" xfId="0" applyNumberFormat="1" applyFont="1" applyFill="1"/>
    <xf numFmtId="3" fontId="33" fillId="3" borderId="1" xfId="3" applyNumberFormat="1" applyFont="1" applyFill="1" applyBorder="1" applyAlignment="1">
      <alignment horizontal="center"/>
    </xf>
    <xf numFmtId="49" fontId="23" fillId="2" borderId="1" xfId="0" applyNumberFormat="1" applyFont="1" applyFill="1" applyBorder="1" applyAlignment="1">
      <alignment horizontal="center"/>
    </xf>
    <xf numFmtId="165" fontId="45" fillId="2" borderId="0" xfId="0" applyNumberFormat="1" applyFont="1" applyFill="1"/>
    <xf numFmtId="0" fontId="46" fillId="2" borderId="0" xfId="0" applyFont="1" applyFill="1"/>
    <xf numFmtId="165" fontId="47" fillId="2" borderId="0" xfId="0" applyNumberFormat="1" applyFont="1" applyFill="1"/>
    <xf numFmtId="3" fontId="43" fillId="2" borderId="1" xfId="3" applyNumberFormat="1" applyFont="1" applyFill="1" applyBorder="1" applyAlignment="1">
      <alignment horizontal="center"/>
    </xf>
    <xf numFmtId="3" fontId="37" fillId="3" borderId="1" xfId="0" applyNumberFormat="1" applyFont="1" applyFill="1" applyBorder="1" applyAlignment="1">
      <alignment horizontal="center"/>
    </xf>
    <xf numFmtId="165" fontId="48" fillId="2" borderId="0" xfId="0" applyNumberFormat="1" applyFont="1" applyFill="1"/>
    <xf numFmtId="166" fontId="33" fillId="2" borderId="1" xfId="0" applyNumberFormat="1" applyFont="1" applyFill="1" applyBorder="1" applyAlignment="1">
      <alignment horizontal="center"/>
    </xf>
    <xf numFmtId="0" fontId="18" fillId="2" borderId="0" xfId="0" applyFont="1" applyFill="1" applyAlignment="1"/>
    <xf numFmtId="165" fontId="30" fillId="2" borderId="0" xfId="0" applyNumberFormat="1" applyFont="1" applyFill="1" applyAlignment="1"/>
    <xf numFmtId="165" fontId="49" fillId="2" borderId="0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/>
    </xf>
    <xf numFmtId="0" fontId="16" fillId="4" borderId="0" xfId="0" applyFont="1" applyFill="1"/>
    <xf numFmtId="165" fontId="29" fillId="4" borderId="0" xfId="0" applyNumberFormat="1" applyFont="1" applyFill="1"/>
    <xf numFmtId="0" fontId="3" fillId="4" borderId="1" xfId="0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8" fillId="4" borderId="1" xfId="2" applyFont="1" applyFill="1" applyBorder="1" applyAlignment="1">
      <alignment wrapText="1"/>
    </xf>
    <xf numFmtId="0" fontId="13" fillId="4" borderId="0" xfId="0" applyFont="1" applyFill="1"/>
    <xf numFmtId="165" fontId="32" fillId="4" borderId="0" xfId="0" applyNumberFormat="1" applyFont="1" applyFill="1"/>
    <xf numFmtId="0" fontId="24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wrapText="1"/>
    </xf>
    <xf numFmtId="4" fontId="36" fillId="2" borderId="0" xfId="0" applyNumberFormat="1" applyFont="1" applyFill="1"/>
    <xf numFmtId="4" fontId="28" fillId="4" borderId="1" xfId="0" applyNumberFormat="1" applyFont="1" applyFill="1" applyBorder="1" applyAlignment="1">
      <alignment horizontal="center"/>
    </xf>
    <xf numFmtId="4" fontId="33" fillId="4" borderId="1" xfId="0" applyNumberFormat="1" applyFont="1" applyFill="1" applyBorder="1" applyAlignment="1">
      <alignment horizontal="center"/>
    </xf>
    <xf numFmtId="4" fontId="43" fillId="2" borderId="1" xfId="0" applyNumberFormat="1" applyFont="1" applyFill="1" applyBorder="1" applyAlignment="1">
      <alignment horizontal="center"/>
    </xf>
    <xf numFmtId="4" fontId="43" fillId="2" borderId="1" xfId="3" applyNumberFormat="1" applyFont="1" applyFill="1" applyBorder="1" applyAlignment="1">
      <alignment horizontal="center"/>
    </xf>
    <xf numFmtId="4" fontId="34" fillId="4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4" fontId="38" fillId="2" borderId="1" xfId="0" applyNumberFormat="1" applyFont="1" applyFill="1" applyBorder="1" applyAlignment="1">
      <alignment horizontal="center"/>
    </xf>
    <xf numFmtId="4" fontId="38" fillId="3" borderId="1" xfId="0" applyNumberFormat="1" applyFont="1" applyFill="1" applyBorder="1" applyAlignment="1">
      <alignment horizontal="center"/>
    </xf>
    <xf numFmtId="4" fontId="43" fillId="3" borderId="1" xfId="0" applyNumberFormat="1" applyFont="1" applyFill="1" applyBorder="1" applyAlignment="1">
      <alignment horizontal="center"/>
    </xf>
    <xf numFmtId="4" fontId="37" fillId="3" borderId="1" xfId="0" applyNumberFormat="1" applyFont="1" applyFill="1" applyBorder="1" applyAlignment="1">
      <alignment horizontal="center"/>
    </xf>
    <xf numFmtId="4" fontId="36" fillId="3" borderId="0" xfId="0" applyNumberFormat="1" applyFont="1" applyFill="1"/>
    <xf numFmtId="3" fontId="35" fillId="3" borderId="0" xfId="0" applyNumberFormat="1" applyFont="1" applyFill="1"/>
    <xf numFmtId="0" fontId="16" fillId="2" borderId="1" xfId="0" applyFont="1" applyFill="1" applyBorder="1" applyAlignment="1">
      <alignment horizontal="center" vertical="center" wrapText="1"/>
    </xf>
    <xf numFmtId="4" fontId="16" fillId="2" borderId="0" xfId="0" applyNumberFormat="1" applyFont="1" applyFill="1"/>
    <xf numFmtId="0" fontId="34" fillId="2" borderId="0" xfId="0" applyFont="1" applyFill="1"/>
    <xf numFmtId="49" fontId="34" fillId="2" borderId="0" xfId="0" applyNumberFormat="1" applyFont="1" applyFill="1"/>
    <xf numFmtId="164" fontId="34" fillId="2" borderId="0" xfId="3" applyNumberFormat="1" applyFont="1" applyFill="1"/>
    <xf numFmtId="0" fontId="34" fillId="2" borderId="0" xfId="3" applyFont="1" applyFill="1"/>
    <xf numFmtId="4" fontId="35" fillId="2" borderId="0" xfId="0" applyNumberFormat="1" applyFont="1" applyFill="1"/>
    <xf numFmtId="0" fontId="3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_дод 2" xfId="2"/>
    <cellStyle name="Обычный_дод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0-&#1057;&#1090;&#1072;&#1088;&#1099;&#1077;%20&#1076;&#1072;&#1085;&#1085;&#1099;&#1077;/SHARE/&#1041;&#1102;&#1076;&#1078;&#1077;&#1090;%202019/&#1055;&#1045;&#1056;&#1042;&#1054;&#1053;&#1040;&#1063;&#1040;&#1051;&#1068;&#1053;&#1048;&#1049;/382%20&#1074;&#1110;&#1076;%2025.01.19/&#1044;&#1086;&#1076;.5%20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лютий"/>
      <sheetName val="зі змінами 16.02.18"/>
      <sheetName val="2019!"/>
    </sheetNames>
    <sheetDataSet>
      <sheetData sheetId="0"/>
      <sheetData sheetId="1"/>
      <sheetData sheetId="2"/>
      <sheetData sheetId="3">
        <row r="165">
          <cell r="L165">
            <v>700000</v>
          </cell>
        </row>
        <row r="166">
          <cell r="E166">
            <v>761371853</v>
          </cell>
          <cell r="F166">
            <v>756371853</v>
          </cell>
          <cell r="G166">
            <v>289593700</v>
          </cell>
          <cell r="H166">
            <v>29439200</v>
          </cell>
          <cell r="I166">
            <v>0</v>
          </cell>
          <cell r="J166">
            <v>225405601</v>
          </cell>
          <cell r="K166">
            <v>202860800</v>
          </cell>
          <cell r="M166">
            <v>22450801</v>
          </cell>
          <cell r="N166">
            <v>380500</v>
          </cell>
          <cell r="O166">
            <v>0</v>
          </cell>
          <cell r="P166">
            <v>202954800</v>
          </cell>
          <cell r="Q166">
            <v>986777454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56"/>
  <sheetViews>
    <sheetView view="pageBreakPreview" zoomScale="80" zoomScaleNormal="80" zoomScaleSheetLayoutView="80" workbookViewId="0">
      <pane xSplit="3" ySplit="11" topLeftCell="D30" activePane="bottomRight" state="frozen"/>
      <selection pane="topRight" activeCell="E1" sqref="E1"/>
      <selection pane="bottomLeft" activeCell="A12" sqref="A12"/>
      <selection pane="bottomRight" activeCell="L36" sqref="L36"/>
    </sheetView>
  </sheetViews>
  <sheetFormatPr defaultRowHeight="15.75"/>
  <cols>
    <col min="1" max="1" width="11.42578125" style="2" bestFit="1" customWidth="1"/>
    <col min="2" max="2" width="11.85546875" style="2" customWidth="1"/>
    <col min="3" max="3" width="48" style="3" customWidth="1"/>
    <col min="4" max="4" width="20.7109375" style="1" customWidth="1"/>
    <col min="5" max="5" width="23" style="1" customWidth="1"/>
    <col min="6" max="6" width="17.42578125" style="1" customWidth="1"/>
    <col min="7" max="8" width="15.7109375" style="1" customWidth="1"/>
    <col min="9" max="9" width="19.7109375" style="1" customWidth="1"/>
    <col min="10" max="10" width="15.28515625" style="1" customWidth="1"/>
    <col min="11" max="11" width="19.42578125" style="66" customWidth="1"/>
    <col min="12" max="12" width="19" style="1" customWidth="1"/>
    <col min="13" max="13" width="14.85546875" style="1" customWidth="1"/>
    <col min="14" max="14" width="14.140625" style="1" customWidth="1"/>
    <col min="15" max="15" width="18.85546875" style="1" customWidth="1"/>
    <col min="16" max="16" width="24.42578125" style="1" customWidth="1"/>
    <col min="17" max="17" width="13.28515625" style="1" bestFit="1" customWidth="1"/>
    <col min="18" max="19" width="18.42578125" style="53" customWidth="1"/>
    <col min="20" max="16384" width="9.140625" style="1"/>
  </cols>
  <sheetData>
    <row r="1" spans="1:16">
      <c r="A1" s="55"/>
      <c r="O1" s="4" t="s">
        <v>290</v>
      </c>
      <c r="P1" s="47"/>
    </row>
    <row r="2" spans="1:16">
      <c r="A2" s="54"/>
      <c r="O2" s="92" t="s">
        <v>295</v>
      </c>
      <c r="P2" s="65"/>
    </row>
    <row r="3" spans="1:16">
      <c r="A3" s="54"/>
      <c r="O3" s="92" t="s">
        <v>287</v>
      </c>
      <c r="P3" s="65"/>
    </row>
    <row r="4" spans="1:16">
      <c r="A4" s="54"/>
      <c r="O4" s="92" t="s">
        <v>296</v>
      </c>
      <c r="P4" s="65"/>
    </row>
    <row r="5" spans="1:16" ht="20.25">
      <c r="A5" s="171" t="s">
        <v>297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</row>
    <row r="6" spans="1:16" ht="20.25">
      <c r="A6" s="171" t="s">
        <v>271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</row>
    <row r="7" spans="1:16">
      <c r="P7" s="64" t="s">
        <v>289</v>
      </c>
    </row>
    <row r="8" spans="1:16" ht="15" customHeight="1">
      <c r="A8" s="170" t="s">
        <v>280</v>
      </c>
      <c r="B8" s="170" t="s">
        <v>281</v>
      </c>
      <c r="C8" s="170" t="s">
        <v>282</v>
      </c>
      <c r="D8" s="172" t="s">
        <v>0</v>
      </c>
      <c r="E8" s="173"/>
      <c r="F8" s="173"/>
      <c r="G8" s="173"/>
      <c r="H8" s="174"/>
      <c r="I8" s="170" t="s">
        <v>3</v>
      </c>
      <c r="J8" s="170"/>
      <c r="K8" s="170"/>
      <c r="L8" s="170"/>
      <c r="M8" s="170"/>
      <c r="N8" s="170"/>
      <c r="O8" s="170"/>
      <c r="P8" s="175" t="s">
        <v>4</v>
      </c>
    </row>
    <row r="9" spans="1:16">
      <c r="A9" s="170"/>
      <c r="B9" s="170"/>
      <c r="C9" s="170"/>
      <c r="D9" s="170" t="s">
        <v>283</v>
      </c>
      <c r="E9" s="176" t="s">
        <v>278</v>
      </c>
      <c r="F9" s="170" t="s">
        <v>1</v>
      </c>
      <c r="G9" s="170"/>
      <c r="H9" s="176" t="s">
        <v>279</v>
      </c>
      <c r="I9" s="170" t="s">
        <v>283</v>
      </c>
      <c r="J9" s="176" t="s">
        <v>284</v>
      </c>
      <c r="K9" s="179" t="s">
        <v>286</v>
      </c>
      <c r="L9" s="170" t="s">
        <v>278</v>
      </c>
      <c r="M9" s="170" t="s">
        <v>1</v>
      </c>
      <c r="N9" s="170"/>
      <c r="O9" s="170" t="s">
        <v>285</v>
      </c>
      <c r="P9" s="175"/>
    </row>
    <row r="10" spans="1:16">
      <c r="A10" s="170"/>
      <c r="B10" s="170"/>
      <c r="C10" s="170"/>
      <c r="D10" s="170"/>
      <c r="E10" s="177"/>
      <c r="F10" s="170" t="s">
        <v>10</v>
      </c>
      <c r="G10" s="170" t="s">
        <v>2</v>
      </c>
      <c r="H10" s="177"/>
      <c r="I10" s="170"/>
      <c r="J10" s="177"/>
      <c r="K10" s="180"/>
      <c r="L10" s="170"/>
      <c r="M10" s="170" t="s">
        <v>10</v>
      </c>
      <c r="N10" s="170" t="s">
        <v>2</v>
      </c>
      <c r="O10" s="170"/>
      <c r="P10" s="175"/>
    </row>
    <row r="11" spans="1:16" ht="138.75" customHeight="1">
      <c r="A11" s="170"/>
      <c r="B11" s="170"/>
      <c r="C11" s="170"/>
      <c r="D11" s="170"/>
      <c r="E11" s="178"/>
      <c r="F11" s="170"/>
      <c r="G11" s="170"/>
      <c r="H11" s="178"/>
      <c r="I11" s="170"/>
      <c r="J11" s="178"/>
      <c r="K11" s="181"/>
      <c r="L11" s="170"/>
      <c r="M11" s="170"/>
      <c r="N11" s="170"/>
      <c r="O11" s="170"/>
      <c r="P11" s="175"/>
    </row>
    <row r="12" spans="1:16">
      <c r="A12" s="5">
        <v>1</v>
      </c>
      <c r="B12" s="5">
        <v>2</v>
      </c>
      <c r="C12" s="93">
        <v>3</v>
      </c>
      <c r="D12" s="93">
        <v>4</v>
      </c>
      <c r="E12" s="93">
        <v>5</v>
      </c>
      <c r="F12" s="93">
        <v>6</v>
      </c>
      <c r="G12" s="93">
        <v>7</v>
      </c>
      <c r="H12" s="93">
        <v>8</v>
      </c>
      <c r="I12" s="93">
        <v>9</v>
      </c>
      <c r="J12" s="93">
        <v>10</v>
      </c>
      <c r="K12" s="67"/>
      <c r="L12" s="93">
        <v>11</v>
      </c>
      <c r="M12" s="93">
        <v>12</v>
      </c>
      <c r="N12" s="93">
        <v>13</v>
      </c>
      <c r="O12" s="93">
        <v>14</v>
      </c>
      <c r="P12" s="93" t="s">
        <v>288</v>
      </c>
    </row>
    <row r="13" spans="1:16" ht="18.75">
      <c r="A13" s="15" t="s">
        <v>15</v>
      </c>
      <c r="B13" s="10"/>
      <c r="C13" s="16" t="s">
        <v>5</v>
      </c>
      <c r="D13" s="94">
        <f>D14+D15+D16+D17</f>
        <v>66617300</v>
      </c>
      <c r="E13" s="94">
        <f>E14+E15+E16+E17</f>
        <v>66617300</v>
      </c>
      <c r="F13" s="94">
        <f>F14+F15+F16+F17</f>
        <v>51904200</v>
      </c>
      <c r="G13" s="94">
        <f>G14+G15+G16+G17</f>
        <v>2807030</v>
      </c>
      <c r="H13" s="94"/>
      <c r="I13" s="94">
        <f>L13+O13</f>
        <v>16015400</v>
      </c>
      <c r="J13" s="94">
        <f>J14+J15+J17</f>
        <v>15852400</v>
      </c>
      <c r="K13" s="95">
        <f>K14+K15+K17</f>
        <v>4352400</v>
      </c>
      <c r="L13" s="94">
        <f>L14+L15+L16+L17</f>
        <v>163000</v>
      </c>
      <c r="M13" s="94"/>
      <c r="N13" s="94"/>
      <c r="O13" s="94">
        <f>O14+O15+O17</f>
        <v>15852400</v>
      </c>
      <c r="P13" s="94">
        <f>D13+I13</f>
        <v>82632700</v>
      </c>
    </row>
    <row r="14" spans="1:16" ht="75.75">
      <c r="A14" s="10" t="s">
        <v>126</v>
      </c>
      <c r="B14" s="10" t="s">
        <v>17</v>
      </c>
      <c r="C14" s="35" t="s">
        <v>125</v>
      </c>
      <c r="D14" s="96">
        <f>E14+H14</f>
        <v>37351400</v>
      </c>
      <c r="E14" s="96">
        <f>1662100+1139600+1389700+31134000+2381000-5000-200000-20000-50000-80000</f>
        <v>37351400</v>
      </c>
      <c r="F14" s="96">
        <f>1296100+997500+1162500+25024000+2381000</f>
        <v>30861100</v>
      </c>
      <c r="G14" s="96">
        <f>106100+34800+63800+2255400</f>
        <v>2460100</v>
      </c>
      <c r="H14" s="96"/>
      <c r="I14" s="96">
        <f>L14+O14</f>
        <v>1728500</v>
      </c>
      <c r="J14" s="96">
        <f>1587500-22000</f>
        <v>1565500</v>
      </c>
      <c r="K14" s="96">
        <f>1587500-22000</f>
        <v>1565500</v>
      </c>
      <c r="L14" s="96">
        <f>18000+145000</f>
        <v>163000</v>
      </c>
      <c r="M14" s="96"/>
      <c r="N14" s="96"/>
      <c r="O14" s="96">
        <f>1587500-22000</f>
        <v>1565500</v>
      </c>
      <c r="P14" s="96">
        <f>D14+I14</f>
        <v>39079900</v>
      </c>
    </row>
    <row r="15" spans="1:16" ht="45.75">
      <c r="A15" s="10" t="s">
        <v>128</v>
      </c>
      <c r="B15" s="10" t="s">
        <v>17</v>
      </c>
      <c r="C15" s="36" t="s">
        <v>253</v>
      </c>
      <c r="D15" s="96">
        <f>E15+H15</f>
        <v>22309200</v>
      </c>
      <c r="E15" s="96">
        <f>490700+1849200+9174300+1379000+1650500+1668400+2122000+3087100+1619000+1500+5000+2400+60600-248700-196000-85800-150000-100000-20000</f>
        <v>22309200</v>
      </c>
      <c r="F15" s="96">
        <f>480100+1795000+8285700+1095000+1422600+1589600+1924900+2831200+1619000</f>
        <v>21043100</v>
      </c>
      <c r="G15" s="96">
        <v>346930</v>
      </c>
      <c r="H15" s="96"/>
      <c r="I15" s="96">
        <f>L15+O15</f>
        <v>131000</v>
      </c>
      <c r="J15" s="96">
        <f>32000+10000+10000+15000+12000+30000+22000</f>
        <v>131000</v>
      </c>
      <c r="K15" s="96">
        <f>32000+10000+10000+15000+12000+30000+22000</f>
        <v>131000</v>
      </c>
      <c r="L15" s="96"/>
      <c r="M15" s="96"/>
      <c r="N15" s="96"/>
      <c r="O15" s="96">
        <f>32000+10000+10000+15000+12000+30000+22000</f>
        <v>131000</v>
      </c>
      <c r="P15" s="96">
        <f>D15+I15</f>
        <v>22440200</v>
      </c>
    </row>
    <row r="16" spans="1:16" ht="30.75">
      <c r="A16" s="10" t="s">
        <v>172</v>
      </c>
      <c r="B16" s="10" t="s">
        <v>173</v>
      </c>
      <c r="C16" s="36" t="s">
        <v>174</v>
      </c>
      <c r="D16" s="96">
        <f>E16+H16</f>
        <v>26000</v>
      </c>
      <c r="E16" s="96">
        <f>20000+6000</f>
        <v>26000</v>
      </c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6">
        <f t="shared" ref="P16:P104" si="0">D16+I16</f>
        <v>26000</v>
      </c>
    </row>
    <row r="17" spans="1:19" ht="18.75">
      <c r="A17" s="10" t="s">
        <v>16</v>
      </c>
      <c r="B17" s="10" t="s">
        <v>71</v>
      </c>
      <c r="C17" s="33" t="s">
        <v>184</v>
      </c>
      <c r="D17" s="96">
        <f>E17+H17</f>
        <v>6930700</v>
      </c>
      <c r="E17" s="96">
        <f>10000+2625500+27400+100500+10000000-5000000-100000-60600-422100-800000-3550000+1800000+2300000</f>
        <v>6930700</v>
      </c>
      <c r="F17" s="96"/>
      <c r="G17" s="96"/>
      <c r="H17" s="96"/>
      <c r="I17" s="96">
        <f>L17+O17</f>
        <v>14155900</v>
      </c>
      <c r="J17" s="96">
        <f>10000000-6000000+3480900-1625000-200000-3000000+11500000</f>
        <v>14155900</v>
      </c>
      <c r="K17" s="97">
        <f>10000000-6000000+3480900-1625000-200000-3000000</f>
        <v>2655900</v>
      </c>
      <c r="L17" s="96"/>
      <c r="M17" s="96"/>
      <c r="N17" s="96"/>
      <c r="O17" s="96">
        <f>10000000-6000000+3480900-1625000-200000-3000000+11500000</f>
        <v>14155900</v>
      </c>
      <c r="P17" s="96">
        <f t="shared" si="0"/>
        <v>21086600</v>
      </c>
    </row>
    <row r="18" spans="1:19" ht="18.75">
      <c r="A18" s="15" t="s">
        <v>18</v>
      </c>
      <c r="B18" s="10"/>
      <c r="C18" s="16" t="s">
        <v>6</v>
      </c>
      <c r="D18" s="94">
        <f>D19+D20+D23+D25+D28+D29+D30+D31+D32</f>
        <v>261892600</v>
      </c>
      <c r="E18" s="94">
        <f>E19+E20+E23+E25+E28+E29+E30+E31+E32</f>
        <v>261892600</v>
      </c>
      <c r="F18" s="94">
        <f>F19+F20+F23+F25+F28+F29+F30+F31+F32</f>
        <v>214481300</v>
      </c>
      <c r="G18" s="94">
        <f>G19+G20+G23+G25+G28+G29+G30+G31+G32</f>
        <v>24470920</v>
      </c>
      <c r="H18" s="94"/>
      <c r="I18" s="94">
        <f t="shared" ref="I18:O18" si="1">I19+I20+I23+I25+I28+I29+I30+I31+I32</f>
        <v>32571201</v>
      </c>
      <c r="J18" s="94">
        <f>J19+J20+J23+J25+J28+J29+J30+J31+J32</f>
        <v>20300000</v>
      </c>
      <c r="K18" s="95">
        <f>K19+K20+K23+K25+K28+K29+K30+K31+K32</f>
        <v>20300000</v>
      </c>
      <c r="L18" s="94">
        <f t="shared" si="1"/>
        <v>12191201</v>
      </c>
      <c r="M18" s="94">
        <f t="shared" si="1"/>
        <v>350000</v>
      </c>
      <c r="N18" s="94">
        <f t="shared" si="1"/>
        <v>0</v>
      </c>
      <c r="O18" s="94">
        <f t="shared" si="1"/>
        <v>20380000</v>
      </c>
      <c r="P18" s="94">
        <f>D18+I18</f>
        <v>294463801</v>
      </c>
    </row>
    <row r="19" spans="1:19" s="26" customFormat="1" ht="18.75">
      <c r="A19" s="10" t="s">
        <v>20</v>
      </c>
      <c r="B19" s="10" t="s">
        <v>19</v>
      </c>
      <c r="C19" s="24" t="s">
        <v>146</v>
      </c>
      <c r="D19" s="96">
        <f>E19+H19</f>
        <v>87624700</v>
      </c>
      <c r="E19" s="96">
        <f>83674700-50000+4000000</f>
        <v>87624700</v>
      </c>
      <c r="F19" s="96">
        <f>59862300+4000000</f>
        <v>63862300</v>
      </c>
      <c r="G19" s="96">
        <v>10791420</v>
      </c>
      <c r="H19" s="96"/>
      <c r="I19" s="96">
        <f>L19+O19</f>
        <v>15740300</v>
      </c>
      <c r="J19" s="96">
        <f>1500000+1000000+2500000</f>
        <v>5000000</v>
      </c>
      <c r="K19" s="97">
        <f>1500000+1000000+2500000</f>
        <v>5000000</v>
      </c>
      <c r="L19" s="96">
        <v>10740300</v>
      </c>
      <c r="M19" s="96"/>
      <c r="N19" s="96"/>
      <c r="O19" s="96">
        <f>1500000+1000000+2500000</f>
        <v>5000000</v>
      </c>
      <c r="P19" s="96">
        <f>D19+I19</f>
        <v>103365000</v>
      </c>
      <c r="R19" s="62"/>
      <c r="S19" s="62"/>
    </row>
    <row r="20" spans="1:19" ht="75.75">
      <c r="A20" s="10" t="s">
        <v>21</v>
      </c>
      <c r="B20" s="10" t="s">
        <v>22</v>
      </c>
      <c r="C20" s="36" t="s">
        <v>23</v>
      </c>
      <c r="D20" s="96">
        <f>E20+H20</f>
        <v>126091800</v>
      </c>
      <c r="E20" s="96">
        <f>126092500+49300-50000</f>
        <v>126091800</v>
      </c>
      <c r="F20" s="96">
        <v>108591700</v>
      </c>
      <c r="G20" s="96">
        <v>11990110</v>
      </c>
      <c r="H20" s="96"/>
      <c r="I20" s="96">
        <f>L20+O20</f>
        <v>15435000</v>
      </c>
      <c r="J20" s="96">
        <f>3000000+2000000+10000000</f>
        <v>15000000</v>
      </c>
      <c r="K20" s="97">
        <f>3000000+2000000+10000000</f>
        <v>15000000</v>
      </c>
      <c r="L20" s="96">
        <v>435000</v>
      </c>
      <c r="M20" s="96">
        <f>100000+22000</f>
        <v>122000</v>
      </c>
      <c r="N20" s="96"/>
      <c r="O20" s="96">
        <f>3000000+2000000+10000000</f>
        <v>15000000</v>
      </c>
      <c r="P20" s="96">
        <f>D20+I20</f>
        <v>141526800</v>
      </c>
      <c r="Q20" s="73"/>
    </row>
    <row r="21" spans="1:19" ht="18.75">
      <c r="A21" s="10"/>
      <c r="B21" s="10"/>
      <c r="C21" s="36" t="s">
        <v>276</v>
      </c>
      <c r="D21" s="96"/>
      <c r="E21" s="96"/>
      <c r="F21" s="96"/>
      <c r="G21" s="96"/>
      <c r="H21" s="96"/>
      <c r="I21" s="96"/>
      <c r="J21" s="96"/>
      <c r="K21" s="97"/>
      <c r="L21" s="96"/>
      <c r="M21" s="96"/>
      <c r="N21" s="96"/>
      <c r="O21" s="96"/>
      <c r="P21" s="96"/>
    </row>
    <row r="22" spans="1:19" s="103" customFormat="1" ht="45.75">
      <c r="A22" s="45"/>
      <c r="B22" s="45"/>
      <c r="C22" s="98" t="s">
        <v>277</v>
      </c>
      <c r="D22" s="99">
        <f>E22+H22</f>
        <v>90631400</v>
      </c>
      <c r="E22" s="99">
        <f>F22</f>
        <v>90631400</v>
      </c>
      <c r="F22" s="99">
        <v>90631400</v>
      </c>
      <c r="G22" s="99"/>
      <c r="H22" s="99"/>
      <c r="I22" s="100"/>
      <c r="J22" s="100"/>
      <c r="K22" s="101"/>
      <c r="L22" s="100"/>
      <c r="M22" s="100"/>
      <c r="N22" s="100"/>
      <c r="O22" s="100"/>
      <c r="P22" s="102">
        <f t="shared" si="0"/>
        <v>90631400</v>
      </c>
      <c r="R22" s="104"/>
      <c r="S22" s="104"/>
    </row>
    <row r="23" spans="1:19" ht="30.75">
      <c r="A23" s="10" t="s">
        <v>24</v>
      </c>
      <c r="B23" s="10" t="s">
        <v>22</v>
      </c>
      <c r="C23" s="36" t="s">
        <v>25</v>
      </c>
      <c r="D23" s="96">
        <f>E23+H23</f>
        <v>766500</v>
      </c>
      <c r="E23" s="96">
        <v>766500</v>
      </c>
      <c r="F23" s="96">
        <v>688400</v>
      </c>
      <c r="G23" s="96">
        <v>71240</v>
      </c>
      <c r="H23" s="96"/>
      <c r="I23" s="96"/>
      <c r="J23" s="96"/>
      <c r="K23" s="97"/>
      <c r="L23" s="96"/>
      <c r="M23" s="96"/>
      <c r="N23" s="96"/>
      <c r="O23" s="96"/>
      <c r="P23" s="96">
        <f t="shared" si="0"/>
        <v>766500</v>
      </c>
    </row>
    <row r="24" spans="1:19" ht="60.75">
      <c r="A24" s="10"/>
      <c r="B24" s="10"/>
      <c r="C24" s="37" t="s">
        <v>13</v>
      </c>
      <c r="D24" s="102">
        <f>E24+H24</f>
        <v>618900</v>
      </c>
      <c r="E24" s="102">
        <f>F24</f>
        <v>618900</v>
      </c>
      <c r="F24" s="102">
        <v>618900</v>
      </c>
      <c r="G24" s="102"/>
      <c r="H24" s="102"/>
      <c r="I24" s="102"/>
      <c r="J24" s="102"/>
      <c r="K24" s="105"/>
      <c r="L24" s="102"/>
      <c r="M24" s="102"/>
      <c r="N24" s="102"/>
      <c r="O24" s="102"/>
      <c r="P24" s="102">
        <f t="shared" si="0"/>
        <v>618900</v>
      </c>
    </row>
    <row r="25" spans="1:19" ht="75.75">
      <c r="A25" s="10" t="s">
        <v>64</v>
      </c>
      <c r="B25" s="10" t="s">
        <v>27</v>
      </c>
      <c r="C25" s="36" t="s">
        <v>111</v>
      </c>
      <c r="D25" s="96">
        <f>E25+H25</f>
        <v>10457600</v>
      </c>
      <c r="E25" s="96">
        <v>10457600</v>
      </c>
      <c r="F25" s="96">
        <v>9130300</v>
      </c>
      <c r="G25" s="96">
        <v>612320</v>
      </c>
      <c r="H25" s="96"/>
      <c r="I25" s="96">
        <f>L25+O25</f>
        <v>330000</v>
      </c>
      <c r="J25" s="96">
        <v>300000</v>
      </c>
      <c r="K25" s="97">
        <v>300000</v>
      </c>
      <c r="L25" s="96">
        <v>30000</v>
      </c>
      <c r="M25" s="96"/>
      <c r="N25" s="96"/>
      <c r="O25" s="96">
        <v>300000</v>
      </c>
      <c r="P25" s="96">
        <f t="shared" si="0"/>
        <v>10787600</v>
      </c>
    </row>
    <row r="26" spans="1:19" ht="18.75">
      <c r="A26" s="10"/>
      <c r="B26" s="10"/>
      <c r="C26" s="36" t="s">
        <v>276</v>
      </c>
      <c r="D26" s="96"/>
      <c r="E26" s="96"/>
      <c r="F26" s="96"/>
      <c r="G26" s="96"/>
      <c r="H26" s="96"/>
      <c r="I26" s="96"/>
      <c r="J26" s="96"/>
      <c r="K26" s="97"/>
      <c r="L26" s="96"/>
      <c r="M26" s="96"/>
      <c r="N26" s="96"/>
      <c r="O26" s="96"/>
      <c r="P26" s="96"/>
    </row>
    <row r="27" spans="1:19" ht="45.75">
      <c r="A27" s="10"/>
      <c r="B27" s="10"/>
      <c r="C27" s="37" t="s">
        <v>277</v>
      </c>
      <c r="D27" s="102">
        <f>E27+H27</f>
        <v>8057500</v>
      </c>
      <c r="E27" s="102">
        <f>F27</f>
        <v>8057500</v>
      </c>
      <c r="F27" s="102">
        <v>8057500</v>
      </c>
      <c r="G27" s="96"/>
      <c r="H27" s="96"/>
      <c r="I27" s="96"/>
      <c r="J27" s="96"/>
      <c r="K27" s="97"/>
      <c r="L27" s="96"/>
      <c r="M27" s="96"/>
      <c r="N27" s="96"/>
      <c r="O27" s="96"/>
      <c r="P27" s="102">
        <f t="shared" si="0"/>
        <v>8057500</v>
      </c>
    </row>
    <row r="28" spans="1:19" ht="45.75">
      <c r="A28" s="10" t="s">
        <v>28</v>
      </c>
      <c r="B28" s="10" t="s">
        <v>29</v>
      </c>
      <c r="C28" s="36" t="s">
        <v>30</v>
      </c>
      <c r="D28" s="96">
        <f>E28+H28</f>
        <v>13346100</v>
      </c>
      <c r="E28" s="96">
        <f>13396100-50000</f>
        <v>13346100</v>
      </c>
      <c r="F28" s="96">
        <v>10632000</v>
      </c>
      <c r="G28" s="96">
        <v>368380</v>
      </c>
      <c r="H28" s="96"/>
      <c r="I28" s="96">
        <f>L28+O28</f>
        <v>176400</v>
      </c>
      <c r="J28" s="96"/>
      <c r="K28" s="97"/>
      <c r="L28" s="96">
        <v>146400</v>
      </c>
      <c r="M28" s="96"/>
      <c r="N28" s="96"/>
      <c r="O28" s="96">
        <v>30000</v>
      </c>
      <c r="P28" s="96">
        <f t="shared" si="0"/>
        <v>13522500</v>
      </c>
    </row>
    <row r="29" spans="1:19" ht="60.75">
      <c r="A29" s="10" t="s">
        <v>132</v>
      </c>
      <c r="B29" s="10" t="s">
        <v>29</v>
      </c>
      <c r="C29" s="36" t="s">
        <v>133</v>
      </c>
      <c r="D29" s="96">
        <f>E29+H29</f>
        <v>13936500</v>
      </c>
      <c r="E29" s="96">
        <f>13936500+25000-25000</f>
        <v>13936500</v>
      </c>
      <c r="F29" s="96">
        <v>13388800</v>
      </c>
      <c r="G29" s="96">
        <v>341000</v>
      </c>
      <c r="H29" s="96"/>
      <c r="I29" s="96">
        <f>L29+O29</f>
        <v>889500</v>
      </c>
      <c r="J29" s="96"/>
      <c r="K29" s="97"/>
      <c r="L29" s="96">
        <v>839500</v>
      </c>
      <c r="M29" s="96">
        <f>186900+41100</f>
        <v>228000</v>
      </c>
      <c r="N29" s="96"/>
      <c r="O29" s="96">
        <v>50000</v>
      </c>
      <c r="P29" s="96">
        <f t="shared" si="0"/>
        <v>14826000</v>
      </c>
    </row>
    <row r="30" spans="1:19" ht="30.75">
      <c r="A30" s="10" t="s">
        <v>129</v>
      </c>
      <c r="B30" s="10" t="s">
        <v>32</v>
      </c>
      <c r="C30" s="24" t="s">
        <v>254</v>
      </c>
      <c r="D30" s="96">
        <f>E30+H30</f>
        <v>162400</v>
      </c>
      <c r="E30" s="96">
        <v>162400</v>
      </c>
      <c r="F30" s="96"/>
      <c r="G30" s="96"/>
      <c r="H30" s="96"/>
      <c r="I30" s="96"/>
      <c r="J30" s="96"/>
      <c r="K30" s="97"/>
      <c r="L30" s="96"/>
      <c r="M30" s="96"/>
      <c r="N30" s="96"/>
      <c r="O30" s="96"/>
      <c r="P30" s="96">
        <f t="shared" si="0"/>
        <v>162400</v>
      </c>
    </row>
    <row r="31" spans="1:19" ht="30.75">
      <c r="A31" s="10" t="s">
        <v>31</v>
      </c>
      <c r="B31" s="10" t="s">
        <v>33</v>
      </c>
      <c r="C31" s="38" t="s">
        <v>255</v>
      </c>
      <c r="D31" s="96">
        <f>E31+H31</f>
        <v>1823400</v>
      </c>
      <c r="E31" s="96">
        <v>1823400</v>
      </c>
      <c r="F31" s="96">
        <v>1513900</v>
      </c>
      <c r="G31" s="96">
        <v>26820</v>
      </c>
      <c r="H31" s="96"/>
      <c r="I31" s="96"/>
      <c r="J31" s="96"/>
      <c r="K31" s="97"/>
      <c r="L31" s="96"/>
      <c r="M31" s="96"/>
      <c r="N31" s="96"/>
      <c r="O31" s="96"/>
      <c r="P31" s="96">
        <f t="shared" si="0"/>
        <v>1823400</v>
      </c>
    </row>
    <row r="32" spans="1:19" ht="18.75">
      <c r="A32" s="10" t="s">
        <v>130</v>
      </c>
      <c r="B32" s="10"/>
      <c r="C32" s="36" t="s">
        <v>131</v>
      </c>
      <c r="D32" s="96">
        <f>D33+D34</f>
        <v>7683600</v>
      </c>
      <c r="E32" s="96">
        <f>E33+E34</f>
        <v>7683600</v>
      </c>
      <c r="F32" s="96">
        <f t="shared" ref="F32:L32" si="2">F33+F34</f>
        <v>6673900</v>
      </c>
      <c r="G32" s="96">
        <f t="shared" si="2"/>
        <v>269630</v>
      </c>
      <c r="H32" s="96"/>
      <c r="I32" s="96">
        <f t="shared" si="2"/>
        <v>1</v>
      </c>
      <c r="J32" s="96"/>
      <c r="K32" s="97"/>
      <c r="L32" s="96">
        <f t="shared" si="2"/>
        <v>1</v>
      </c>
      <c r="M32" s="96"/>
      <c r="N32" s="96"/>
      <c r="O32" s="96"/>
      <c r="P32" s="96">
        <f t="shared" si="0"/>
        <v>7683601</v>
      </c>
    </row>
    <row r="33" spans="1:19" s="13" customFormat="1" ht="33" customHeight="1">
      <c r="A33" s="9" t="s">
        <v>228</v>
      </c>
      <c r="B33" s="9" t="s">
        <v>33</v>
      </c>
      <c r="C33" s="46" t="s">
        <v>229</v>
      </c>
      <c r="D33" s="102">
        <f>E33+H33</f>
        <v>7652800</v>
      </c>
      <c r="E33" s="102">
        <v>7652800</v>
      </c>
      <c r="F33" s="102">
        <v>6673900</v>
      </c>
      <c r="G33" s="102">
        <v>269630</v>
      </c>
      <c r="H33" s="102"/>
      <c r="I33" s="102">
        <f>L33+O33</f>
        <v>1</v>
      </c>
      <c r="J33" s="102"/>
      <c r="K33" s="105"/>
      <c r="L33" s="102">
        <v>1</v>
      </c>
      <c r="M33" s="102"/>
      <c r="N33" s="102"/>
      <c r="O33" s="102"/>
      <c r="P33" s="102">
        <f t="shared" si="0"/>
        <v>7652801</v>
      </c>
      <c r="R33" s="61"/>
      <c r="S33" s="61"/>
    </row>
    <row r="34" spans="1:19" s="13" customFormat="1" ht="28.5" customHeight="1">
      <c r="A34" s="9" t="s">
        <v>261</v>
      </c>
      <c r="B34" s="9" t="s">
        <v>33</v>
      </c>
      <c r="C34" s="46" t="s">
        <v>262</v>
      </c>
      <c r="D34" s="102">
        <f>E34+H34</f>
        <v>30800</v>
      </c>
      <c r="E34" s="102">
        <v>30800</v>
      </c>
      <c r="F34" s="102"/>
      <c r="G34" s="102"/>
      <c r="H34" s="102"/>
      <c r="I34" s="102"/>
      <c r="J34" s="102"/>
      <c r="K34" s="105"/>
      <c r="L34" s="102"/>
      <c r="M34" s="102"/>
      <c r="N34" s="102"/>
      <c r="O34" s="102"/>
      <c r="P34" s="102">
        <f t="shared" si="0"/>
        <v>30800</v>
      </c>
      <c r="R34" s="61"/>
      <c r="S34" s="61"/>
    </row>
    <row r="35" spans="1:19" s="17" customFormat="1" ht="18.75">
      <c r="A35" s="15" t="s">
        <v>34</v>
      </c>
      <c r="B35" s="15"/>
      <c r="C35" s="39" t="s">
        <v>14</v>
      </c>
      <c r="D35" s="94">
        <f>D36+D40+D41</f>
        <v>114498833</v>
      </c>
      <c r="E35" s="94">
        <f>E36+E40+E41</f>
        <v>114498833</v>
      </c>
      <c r="F35" s="94"/>
      <c r="G35" s="94"/>
      <c r="H35" s="94"/>
      <c r="I35" s="94">
        <f>L35+O35</f>
        <v>22710200</v>
      </c>
      <c r="J35" s="94">
        <f t="shared" ref="J35:O35" si="3">J36+J40</f>
        <v>14287200</v>
      </c>
      <c r="K35" s="95">
        <f t="shared" si="3"/>
        <v>14287200</v>
      </c>
      <c r="L35" s="94">
        <f t="shared" si="3"/>
        <v>8423000</v>
      </c>
      <c r="M35" s="94">
        <f t="shared" si="3"/>
        <v>0</v>
      </c>
      <c r="N35" s="94">
        <f t="shared" si="3"/>
        <v>0</v>
      </c>
      <c r="O35" s="94">
        <f t="shared" si="3"/>
        <v>14287200</v>
      </c>
      <c r="P35" s="106">
        <f t="shared" si="0"/>
        <v>137209033</v>
      </c>
      <c r="R35" s="59"/>
      <c r="S35" s="59"/>
    </row>
    <row r="36" spans="1:19" ht="34.5" customHeight="1">
      <c r="A36" s="10" t="s">
        <v>35</v>
      </c>
      <c r="B36" s="10" t="s">
        <v>36</v>
      </c>
      <c r="C36" s="6" t="s">
        <v>37</v>
      </c>
      <c r="D36" s="107">
        <f>E36+H36</f>
        <v>101626033</v>
      </c>
      <c r="E36" s="107">
        <f>95964039+5422100-150000+389894</f>
        <v>101626033</v>
      </c>
      <c r="F36" s="107"/>
      <c r="G36" s="107"/>
      <c r="H36" s="107"/>
      <c r="I36" s="107">
        <f>L36+O36</f>
        <v>18631700</v>
      </c>
      <c r="J36" s="107">
        <f>13237200+500000</f>
        <v>13737200</v>
      </c>
      <c r="K36" s="108">
        <f>13237200+500000</f>
        <v>13737200</v>
      </c>
      <c r="L36" s="107">
        <v>4894500</v>
      </c>
      <c r="M36" s="107"/>
      <c r="N36" s="107"/>
      <c r="O36" s="107">
        <f>13237200+500000</f>
        <v>13737200</v>
      </c>
      <c r="P36" s="107">
        <f t="shared" si="0"/>
        <v>120257733</v>
      </c>
    </row>
    <row r="37" spans="1:19" s="22" customFormat="1" ht="18.75">
      <c r="A37" s="31"/>
      <c r="B37" s="31"/>
      <c r="C37" s="8" t="s">
        <v>298</v>
      </c>
      <c r="D37" s="109">
        <f>E37+H37</f>
        <v>53094900</v>
      </c>
      <c r="E37" s="109">
        <v>53094900</v>
      </c>
      <c r="F37" s="109"/>
      <c r="G37" s="107"/>
      <c r="H37" s="107"/>
      <c r="I37" s="109"/>
      <c r="J37" s="109"/>
      <c r="K37" s="110"/>
      <c r="L37" s="109"/>
      <c r="M37" s="109"/>
      <c r="N37" s="109"/>
      <c r="O37" s="109"/>
      <c r="P37" s="109">
        <f t="shared" si="0"/>
        <v>53094900</v>
      </c>
      <c r="R37" s="23"/>
      <c r="S37" s="23"/>
    </row>
    <row r="38" spans="1:19" s="113" customFormat="1" ht="94.5">
      <c r="A38" s="111"/>
      <c r="B38" s="111"/>
      <c r="C38" s="112" t="s">
        <v>299</v>
      </c>
      <c r="D38" s="109">
        <f>E38+H38</f>
        <v>389894</v>
      </c>
      <c r="E38" s="109">
        <v>389894</v>
      </c>
      <c r="F38" s="109"/>
      <c r="G38" s="109"/>
      <c r="H38" s="109"/>
      <c r="I38" s="109"/>
      <c r="J38" s="109"/>
      <c r="K38" s="110"/>
      <c r="L38" s="109"/>
      <c r="M38" s="109"/>
      <c r="N38" s="109"/>
      <c r="O38" s="109"/>
      <c r="P38" s="109">
        <f>D38+I38</f>
        <v>389894</v>
      </c>
      <c r="R38" s="114"/>
      <c r="S38" s="114"/>
    </row>
    <row r="39" spans="1:19" s="49" customFormat="1" ht="78.75">
      <c r="A39" s="9"/>
      <c r="B39" s="9"/>
      <c r="C39" s="112" t="s">
        <v>300</v>
      </c>
      <c r="D39" s="109">
        <f>E39+H39</f>
        <v>3243839</v>
      </c>
      <c r="E39" s="109">
        <v>3243839</v>
      </c>
      <c r="F39" s="109"/>
      <c r="G39" s="109"/>
      <c r="H39" s="109"/>
      <c r="I39" s="109"/>
      <c r="J39" s="109"/>
      <c r="K39" s="110"/>
      <c r="L39" s="109"/>
      <c r="M39" s="109"/>
      <c r="N39" s="109"/>
      <c r="O39" s="109"/>
      <c r="P39" s="109">
        <f>D39+I39</f>
        <v>3243839</v>
      </c>
      <c r="R39" s="114"/>
      <c r="S39" s="114"/>
    </row>
    <row r="40" spans="1:19" ht="19.5" customHeight="1">
      <c r="A40" s="10" t="s">
        <v>127</v>
      </c>
      <c r="B40" s="10" t="s">
        <v>38</v>
      </c>
      <c r="C40" s="6" t="s">
        <v>256</v>
      </c>
      <c r="D40" s="107">
        <f>E40+H40</f>
        <v>10938200</v>
      </c>
      <c r="E40" s="107">
        <v>10938200</v>
      </c>
      <c r="F40" s="107"/>
      <c r="G40" s="107"/>
      <c r="H40" s="107"/>
      <c r="I40" s="107">
        <f>L40+O40</f>
        <v>4078500</v>
      </c>
      <c r="J40" s="107">
        <v>550000</v>
      </c>
      <c r="K40" s="108">
        <v>550000</v>
      </c>
      <c r="L40" s="107">
        <v>3528500</v>
      </c>
      <c r="M40" s="107"/>
      <c r="N40" s="107"/>
      <c r="O40" s="107">
        <v>550000</v>
      </c>
      <c r="P40" s="107">
        <f t="shared" si="0"/>
        <v>15016700</v>
      </c>
    </row>
    <row r="41" spans="1:19" ht="31.5" customHeight="1">
      <c r="A41" s="10" t="s">
        <v>215</v>
      </c>
      <c r="B41" s="10"/>
      <c r="C41" s="20" t="s">
        <v>214</v>
      </c>
      <c r="D41" s="107">
        <f>D42+D43</f>
        <v>1934600</v>
      </c>
      <c r="E41" s="107">
        <f>E42+E43</f>
        <v>1934600</v>
      </c>
      <c r="F41" s="107"/>
      <c r="G41" s="107"/>
      <c r="H41" s="107"/>
      <c r="I41" s="107"/>
      <c r="J41" s="107"/>
      <c r="K41" s="108"/>
      <c r="L41" s="107"/>
      <c r="M41" s="107"/>
      <c r="N41" s="107"/>
      <c r="O41" s="107"/>
      <c r="P41" s="107">
        <f>D41+I41</f>
        <v>1934600</v>
      </c>
    </row>
    <row r="42" spans="1:19" s="13" customFormat="1" ht="33" customHeight="1">
      <c r="A42" s="9" t="s">
        <v>218</v>
      </c>
      <c r="B42" s="9" t="s">
        <v>220</v>
      </c>
      <c r="C42" s="8" t="s">
        <v>216</v>
      </c>
      <c r="D42" s="109">
        <f>E42+H42</f>
        <v>1570400</v>
      </c>
      <c r="E42" s="109">
        <v>1570400</v>
      </c>
      <c r="F42" s="109"/>
      <c r="G42" s="109"/>
      <c r="H42" s="109"/>
      <c r="I42" s="109"/>
      <c r="J42" s="109"/>
      <c r="K42" s="110"/>
      <c r="L42" s="109"/>
      <c r="M42" s="109"/>
      <c r="N42" s="109"/>
      <c r="O42" s="109"/>
      <c r="P42" s="109">
        <f>D42+I42</f>
        <v>1570400</v>
      </c>
      <c r="R42" s="61"/>
      <c r="S42" s="61"/>
    </row>
    <row r="43" spans="1:19" s="13" customFormat="1" ht="33.75" customHeight="1">
      <c r="A43" s="9" t="s">
        <v>219</v>
      </c>
      <c r="B43" s="9" t="s">
        <v>220</v>
      </c>
      <c r="C43" s="8" t="s">
        <v>217</v>
      </c>
      <c r="D43" s="109">
        <f>E43+H43</f>
        <v>364200</v>
      </c>
      <c r="E43" s="109">
        <v>364200</v>
      </c>
      <c r="F43" s="109"/>
      <c r="G43" s="109"/>
      <c r="H43" s="109"/>
      <c r="I43" s="109"/>
      <c r="J43" s="109"/>
      <c r="K43" s="110"/>
      <c r="L43" s="109"/>
      <c r="M43" s="109"/>
      <c r="N43" s="109"/>
      <c r="O43" s="109"/>
      <c r="P43" s="109">
        <f>D43+I43</f>
        <v>364200</v>
      </c>
      <c r="R43" s="61"/>
      <c r="S43" s="61"/>
    </row>
    <row r="44" spans="1:19" s="32" customFormat="1" ht="32.25" customHeight="1">
      <c r="A44" s="30" t="s">
        <v>39</v>
      </c>
      <c r="B44" s="31"/>
      <c r="C44" s="18" t="s">
        <v>7</v>
      </c>
      <c r="D44" s="94">
        <f>D45+D48+D51+D54+D63+D64+D69+D70+D72+D74+D77+D79+D80+D81+D83+D84+D87+D86</f>
        <v>163867820</v>
      </c>
      <c r="E44" s="94">
        <f>E45+E48+E51+E54+E63+E64+E69+E70+E72+E74+E77+E79+E80+E81+E83+E84+E87+E86</f>
        <v>163867820</v>
      </c>
      <c r="F44" s="94">
        <f>F45+F48+F51+F54+F67+F70+F72+F74+F77+F79+F80+F83+F84+F87+F86</f>
        <v>7536000</v>
      </c>
      <c r="G44" s="94">
        <f>G45+G48+G51+G54+G67+G70+G72+G74+G77+G79+G80+G83+G84+G87+G86</f>
        <v>183500</v>
      </c>
      <c r="H44" s="94"/>
      <c r="I44" s="94">
        <f>O44+L44</f>
        <v>34000</v>
      </c>
      <c r="J44" s="94">
        <f t="shared" ref="J44:O44" si="4">J45+J48+J51+J54+J67+J70+J72+J74+J77+J79+J80+J83+J84+J87+J86</f>
        <v>12000</v>
      </c>
      <c r="K44" s="95">
        <f t="shared" si="4"/>
        <v>12000</v>
      </c>
      <c r="L44" s="94">
        <f t="shared" si="4"/>
        <v>8000</v>
      </c>
      <c r="M44" s="94">
        <f t="shared" si="4"/>
        <v>0</v>
      </c>
      <c r="N44" s="94">
        <f t="shared" si="4"/>
        <v>0</v>
      </c>
      <c r="O44" s="94">
        <f t="shared" si="4"/>
        <v>26000</v>
      </c>
      <c r="P44" s="106">
        <f t="shared" si="0"/>
        <v>163901820</v>
      </c>
      <c r="R44" s="69"/>
      <c r="S44" s="69"/>
    </row>
    <row r="45" spans="1:19" s="17" customFormat="1" ht="102" customHeight="1">
      <c r="A45" s="15" t="s">
        <v>40</v>
      </c>
      <c r="B45" s="15"/>
      <c r="C45" s="18" t="s">
        <v>41</v>
      </c>
      <c r="D45" s="94">
        <f>D46+D47</f>
        <v>19265500</v>
      </c>
      <c r="E45" s="94">
        <f>E46+E47</f>
        <v>19265500</v>
      </c>
      <c r="F45" s="94">
        <f>F46+F47</f>
        <v>0</v>
      </c>
      <c r="G45" s="94">
        <f>G46+G47</f>
        <v>0</v>
      </c>
      <c r="H45" s="94"/>
      <c r="I45" s="94">
        <f t="shared" ref="I45:O45" si="5">I46+I47</f>
        <v>0</v>
      </c>
      <c r="J45" s="94">
        <f t="shared" si="5"/>
        <v>0</v>
      </c>
      <c r="K45" s="95">
        <f t="shared" si="5"/>
        <v>0</v>
      </c>
      <c r="L45" s="94">
        <f t="shared" si="5"/>
        <v>0</v>
      </c>
      <c r="M45" s="94">
        <f t="shared" si="5"/>
        <v>0</v>
      </c>
      <c r="N45" s="94">
        <f t="shared" si="5"/>
        <v>0</v>
      </c>
      <c r="O45" s="94">
        <f t="shared" si="5"/>
        <v>0</v>
      </c>
      <c r="P45" s="106">
        <f t="shared" si="0"/>
        <v>19265500</v>
      </c>
      <c r="R45" s="59"/>
      <c r="S45" s="59"/>
    </row>
    <row r="46" spans="1:19" ht="48">
      <c r="A46" s="10" t="s">
        <v>42</v>
      </c>
      <c r="B46" s="10" t="s">
        <v>24</v>
      </c>
      <c r="C46" s="8" t="s">
        <v>160</v>
      </c>
      <c r="D46" s="96">
        <v>5765500</v>
      </c>
      <c r="E46" s="96">
        <v>5765500</v>
      </c>
      <c r="F46" s="96"/>
      <c r="G46" s="96"/>
      <c r="H46" s="96"/>
      <c r="I46" s="94">
        <f>I47+I48</f>
        <v>0</v>
      </c>
      <c r="J46" s="96"/>
      <c r="K46" s="97"/>
      <c r="L46" s="96"/>
      <c r="M46" s="96"/>
      <c r="N46" s="96"/>
      <c r="O46" s="94">
        <f>O47+O48</f>
        <v>0</v>
      </c>
      <c r="P46" s="107">
        <f t="shared" si="0"/>
        <v>5765500</v>
      </c>
    </row>
    <row r="47" spans="1:19" ht="48">
      <c r="A47" s="10" t="s">
        <v>74</v>
      </c>
      <c r="B47" s="10" t="s">
        <v>26</v>
      </c>
      <c r="C47" s="8" t="s">
        <v>92</v>
      </c>
      <c r="D47" s="96">
        <v>13500000</v>
      </c>
      <c r="E47" s="96">
        <v>13500000</v>
      </c>
      <c r="F47" s="96"/>
      <c r="G47" s="96"/>
      <c r="H47" s="96"/>
      <c r="I47" s="94">
        <f>I48+I49</f>
        <v>0</v>
      </c>
      <c r="J47" s="96"/>
      <c r="K47" s="97"/>
      <c r="L47" s="96"/>
      <c r="M47" s="96"/>
      <c r="N47" s="96"/>
      <c r="O47" s="94">
        <f>O48+O49</f>
        <v>0</v>
      </c>
      <c r="P47" s="96">
        <f t="shared" si="0"/>
        <v>13500000</v>
      </c>
    </row>
    <row r="48" spans="1:19" s="17" customFormat="1" ht="48">
      <c r="A48" s="15" t="s">
        <v>43</v>
      </c>
      <c r="B48" s="15"/>
      <c r="C48" s="18" t="s">
        <v>44</v>
      </c>
      <c r="D48" s="94">
        <f>D49+D50</f>
        <v>259000</v>
      </c>
      <c r="E48" s="94">
        <f>E49+E50</f>
        <v>259000</v>
      </c>
      <c r="F48" s="94">
        <f>F49+F50</f>
        <v>0</v>
      </c>
      <c r="G48" s="94">
        <f>G49+G50</f>
        <v>0</v>
      </c>
      <c r="H48" s="94"/>
      <c r="I48" s="94">
        <f>I49+I50</f>
        <v>0</v>
      </c>
      <c r="J48" s="94">
        <f>J49+J50</f>
        <v>0</v>
      </c>
      <c r="K48" s="95">
        <f>K49+K50</f>
        <v>0</v>
      </c>
      <c r="L48" s="94">
        <f>L49+L50</f>
        <v>0</v>
      </c>
      <c r="M48" s="94">
        <f>M49+M50</f>
        <v>0</v>
      </c>
      <c r="N48" s="94">
        <f>N49+N50</f>
        <v>0</v>
      </c>
      <c r="O48" s="94">
        <f>O49+O50</f>
        <v>0</v>
      </c>
      <c r="P48" s="94">
        <f t="shared" si="0"/>
        <v>259000</v>
      </c>
      <c r="R48" s="59"/>
      <c r="S48" s="59"/>
    </row>
    <row r="49" spans="1:19" ht="63.75">
      <c r="A49" s="10" t="s">
        <v>45</v>
      </c>
      <c r="B49" s="10" t="s">
        <v>24</v>
      </c>
      <c r="C49" s="8" t="s">
        <v>161</v>
      </c>
      <c r="D49" s="96">
        <v>23000</v>
      </c>
      <c r="E49" s="96">
        <v>23000</v>
      </c>
      <c r="F49" s="96"/>
      <c r="G49" s="96"/>
      <c r="H49" s="96"/>
      <c r="I49" s="94"/>
      <c r="J49" s="96"/>
      <c r="K49" s="97"/>
      <c r="L49" s="96"/>
      <c r="M49" s="96"/>
      <c r="N49" s="96"/>
      <c r="O49" s="94">
        <f>O50+O51</f>
        <v>0</v>
      </c>
      <c r="P49" s="96">
        <f t="shared" si="0"/>
        <v>23000</v>
      </c>
    </row>
    <row r="50" spans="1:19" ht="63.75">
      <c r="A50" s="10" t="s">
        <v>162</v>
      </c>
      <c r="B50" s="10" t="s">
        <v>26</v>
      </c>
      <c r="C50" s="8" t="s">
        <v>93</v>
      </c>
      <c r="D50" s="96">
        <v>236000</v>
      </c>
      <c r="E50" s="96">
        <v>236000</v>
      </c>
      <c r="F50" s="96"/>
      <c r="G50" s="96"/>
      <c r="H50" s="96"/>
      <c r="I50" s="94"/>
      <c r="J50" s="96"/>
      <c r="K50" s="97"/>
      <c r="L50" s="96"/>
      <c r="M50" s="96"/>
      <c r="N50" s="96"/>
      <c r="O50" s="94">
        <f>O51+O52</f>
        <v>0</v>
      </c>
      <c r="P50" s="96">
        <f t="shared" si="0"/>
        <v>236000</v>
      </c>
    </row>
    <row r="51" spans="1:19" s="17" customFormat="1" ht="79.5">
      <c r="A51" s="15" t="s">
        <v>63</v>
      </c>
      <c r="B51" s="15" t="s">
        <v>24</v>
      </c>
      <c r="C51" s="18" t="s">
        <v>163</v>
      </c>
      <c r="D51" s="94">
        <f>D52+D53</f>
        <v>596400</v>
      </c>
      <c r="E51" s="94">
        <f>E52+E53</f>
        <v>596400</v>
      </c>
      <c r="F51" s="94">
        <f t="shared" ref="F51:O51" si="6">F52+F53</f>
        <v>0</v>
      </c>
      <c r="G51" s="94">
        <f t="shared" si="6"/>
        <v>0</v>
      </c>
      <c r="H51" s="94"/>
      <c r="I51" s="94">
        <f>I52+I53</f>
        <v>0</v>
      </c>
      <c r="J51" s="94">
        <f>J52+J53</f>
        <v>0</v>
      </c>
      <c r="K51" s="95">
        <f>K52+K53</f>
        <v>0</v>
      </c>
      <c r="L51" s="94">
        <f t="shared" si="6"/>
        <v>0</v>
      </c>
      <c r="M51" s="94">
        <f t="shared" si="6"/>
        <v>0</v>
      </c>
      <c r="N51" s="94">
        <f t="shared" si="6"/>
        <v>0</v>
      </c>
      <c r="O51" s="94">
        <f t="shared" si="6"/>
        <v>0</v>
      </c>
      <c r="P51" s="94">
        <f t="shared" si="0"/>
        <v>596400</v>
      </c>
      <c r="R51" s="59"/>
      <c r="S51" s="59"/>
    </row>
    <row r="52" spans="1:19" ht="32.25">
      <c r="A52" s="10" t="s">
        <v>73</v>
      </c>
      <c r="B52" s="10" t="s">
        <v>24</v>
      </c>
      <c r="C52" s="8" t="s">
        <v>164</v>
      </c>
      <c r="D52" s="96">
        <f>E52+H52</f>
        <v>368400</v>
      </c>
      <c r="E52" s="96">
        <v>368400</v>
      </c>
      <c r="F52" s="96"/>
      <c r="G52" s="96"/>
      <c r="H52" s="96"/>
      <c r="I52" s="94"/>
      <c r="J52" s="96"/>
      <c r="K52" s="97"/>
      <c r="L52" s="96"/>
      <c r="M52" s="96"/>
      <c r="N52" s="96"/>
      <c r="O52" s="94"/>
      <c r="P52" s="96">
        <f t="shared" si="0"/>
        <v>368400</v>
      </c>
    </row>
    <row r="53" spans="1:19" ht="32.25">
      <c r="A53" s="10" t="s">
        <v>165</v>
      </c>
      <c r="B53" s="10" t="s">
        <v>64</v>
      </c>
      <c r="C53" s="8" t="s">
        <v>75</v>
      </c>
      <c r="D53" s="96">
        <f>E53+H53</f>
        <v>228000</v>
      </c>
      <c r="E53" s="96">
        <v>228000</v>
      </c>
      <c r="F53" s="96"/>
      <c r="G53" s="96"/>
      <c r="H53" s="96"/>
      <c r="I53" s="94"/>
      <c r="J53" s="96"/>
      <c r="K53" s="97"/>
      <c r="L53" s="96"/>
      <c r="M53" s="96"/>
      <c r="N53" s="96"/>
      <c r="O53" s="94"/>
      <c r="P53" s="96">
        <f t="shared" si="0"/>
        <v>228000</v>
      </c>
    </row>
    <row r="54" spans="1:19" s="17" customFormat="1" ht="48">
      <c r="A54" s="15" t="s">
        <v>76</v>
      </c>
      <c r="B54" s="15"/>
      <c r="C54" s="18" t="s">
        <v>238</v>
      </c>
      <c r="D54" s="94">
        <f>D55+D56+D57+D58+D59+D60+D61+D62</f>
        <v>73394400</v>
      </c>
      <c r="E54" s="94">
        <f>E55+E56+E57+E58+E59+E60+E61+E62</f>
        <v>73394400</v>
      </c>
      <c r="F54" s="94">
        <f>F55+F56+F57+F58+F59+F60+F61+F62</f>
        <v>0</v>
      </c>
      <c r="G54" s="94">
        <f>G55+G56+G57+G58+G59+G60+G61+G62</f>
        <v>0</v>
      </c>
      <c r="H54" s="94"/>
      <c r="I54" s="94">
        <f t="shared" ref="I54:P54" si="7">I55+I56+I57+I58+I59+I60+I61+I62</f>
        <v>0</v>
      </c>
      <c r="J54" s="94">
        <f t="shared" si="7"/>
        <v>0</v>
      </c>
      <c r="K54" s="94">
        <f t="shared" si="7"/>
        <v>0</v>
      </c>
      <c r="L54" s="94">
        <f t="shared" si="7"/>
        <v>0</v>
      </c>
      <c r="M54" s="94">
        <f t="shared" si="7"/>
        <v>0</v>
      </c>
      <c r="N54" s="94">
        <f t="shared" si="7"/>
        <v>0</v>
      </c>
      <c r="O54" s="94">
        <f t="shared" si="7"/>
        <v>0</v>
      </c>
      <c r="P54" s="94">
        <f t="shared" si="7"/>
        <v>73394400</v>
      </c>
      <c r="R54" s="59"/>
      <c r="S54" s="59"/>
    </row>
    <row r="55" spans="1:19" s="7" customFormat="1" ht="30.75">
      <c r="A55" s="9" t="s">
        <v>77</v>
      </c>
      <c r="B55" s="9" t="s">
        <v>78</v>
      </c>
      <c r="C55" s="40" t="s">
        <v>79</v>
      </c>
      <c r="D55" s="102">
        <v>1540100</v>
      </c>
      <c r="E55" s="102">
        <v>1540100</v>
      </c>
      <c r="F55" s="102"/>
      <c r="G55" s="102"/>
      <c r="H55" s="102"/>
      <c r="I55" s="94"/>
      <c r="J55" s="102"/>
      <c r="K55" s="105"/>
      <c r="L55" s="102"/>
      <c r="M55" s="102"/>
      <c r="N55" s="102"/>
      <c r="O55" s="102"/>
      <c r="P55" s="102">
        <f t="shared" si="0"/>
        <v>1540100</v>
      </c>
      <c r="R55" s="60"/>
      <c r="S55" s="60"/>
    </row>
    <row r="56" spans="1:19" s="7" customFormat="1" ht="18.75">
      <c r="A56" s="9" t="s">
        <v>80</v>
      </c>
      <c r="B56" s="9" t="s">
        <v>78</v>
      </c>
      <c r="C56" s="40" t="s">
        <v>90</v>
      </c>
      <c r="D56" s="102">
        <v>200000</v>
      </c>
      <c r="E56" s="102">
        <v>200000</v>
      </c>
      <c r="F56" s="102"/>
      <c r="G56" s="102"/>
      <c r="H56" s="102"/>
      <c r="I56" s="94"/>
      <c r="J56" s="102"/>
      <c r="K56" s="105"/>
      <c r="L56" s="102"/>
      <c r="M56" s="102"/>
      <c r="N56" s="102"/>
      <c r="O56" s="102"/>
      <c r="P56" s="102">
        <f t="shared" si="0"/>
        <v>200000</v>
      </c>
      <c r="R56" s="60"/>
      <c r="S56" s="60"/>
    </row>
    <row r="57" spans="1:19" s="7" customFormat="1" ht="18.75">
      <c r="A57" s="9" t="s">
        <v>81</v>
      </c>
      <c r="B57" s="9" t="s">
        <v>78</v>
      </c>
      <c r="C57" s="40" t="s">
        <v>82</v>
      </c>
      <c r="D57" s="102">
        <f>46510700+4000000</f>
        <v>50510700</v>
      </c>
      <c r="E57" s="102">
        <f>46510700+4000000</f>
        <v>50510700</v>
      </c>
      <c r="F57" s="102"/>
      <c r="G57" s="102"/>
      <c r="H57" s="102"/>
      <c r="I57" s="94"/>
      <c r="J57" s="102"/>
      <c r="K57" s="105"/>
      <c r="L57" s="102"/>
      <c r="M57" s="102"/>
      <c r="N57" s="102"/>
      <c r="O57" s="102"/>
      <c r="P57" s="102">
        <f t="shared" si="0"/>
        <v>50510700</v>
      </c>
      <c r="R57" s="60"/>
      <c r="S57" s="60"/>
    </row>
    <row r="58" spans="1:19" s="7" customFormat="1" ht="30.75">
      <c r="A58" s="9" t="s">
        <v>83</v>
      </c>
      <c r="B58" s="9" t="s">
        <v>78</v>
      </c>
      <c r="C58" s="40" t="s">
        <v>84</v>
      </c>
      <c r="D58" s="102">
        <v>5000000</v>
      </c>
      <c r="E58" s="102">
        <v>5000000</v>
      </c>
      <c r="F58" s="102"/>
      <c r="G58" s="102"/>
      <c r="H58" s="102"/>
      <c r="I58" s="94"/>
      <c r="J58" s="102"/>
      <c r="K58" s="105"/>
      <c r="L58" s="102"/>
      <c r="M58" s="102"/>
      <c r="N58" s="102"/>
      <c r="O58" s="102"/>
      <c r="P58" s="102">
        <f t="shared" si="0"/>
        <v>5000000</v>
      </c>
      <c r="R58" s="60"/>
      <c r="S58" s="60"/>
    </row>
    <row r="59" spans="1:19" s="7" customFormat="1" ht="30.75">
      <c r="A59" s="9" t="s">
        <v>85</v>
      </c>
      <c r="B59" s="9" t="s">
        <v>78</v>
      </c>
      <c r="C59" s="40" t="s">
        <v>86</v>
      </c>
      <c r="D59" s="102">
        <v>9000000</v>
      </c>
      <c r="E59" s="102">
        <v>9000000</v>
      </c>
      <c r="F59" s="102"/>
      <c r="G59" s="102"/>
      <c r="H59" s="102"/>
      <c r="I59" s="94"/>
      <c r="J59" s="102"/>
      <c r="K59" s="105"/>
      <c r="L59" s="102"/>
      <c r="M59" s="102"/>
      <c r="N59" s="102"/>
      <c r="O59" s="102"/>
      <c r="P59" s="102">
        <f t="shared" si="0"/>
        <v>9000000</v>
      </c>
      <c r="R59" s="60"/>
      <c r="S59" s="60"/>
    </row>
    <row r="60" spans="1:19" s="7" customFormat="1" ht="36" customHeight="1">
      <c r="A60" s="9" t="s">
        <v>87</v>
      </c>
      <c r="B60" s="9" t="s">
        <v>78</v>
      </c>
      <c r="C60" s="40" t="s">
        <v>88</v>
      </c>
      <c r="D60" s="102">
        <v>933000</v>
      </c>
      <c r="E60" s="102">
        <v>933000</v>
      </c>
      <c r="F60" s="102"/>
      <c r="G60" s="102"/>
      <c r="H60" s="102"/>
      <c r="I60" s="94"/>
      <c r="J60" s="102"/>
      <c r="K60" s="105"/>
      <c r="L60" s="102"/>
      <c r="M60" s="102"/>
      <c r="N60" s="102"/>
      <c r="O60" s="102"/>
      <c r="P60" s="102">
        <f t="shared" si="0"/>
        <v>933000</v>
      </c>
      <c r="R60" s="60"/>
      <c r="S60" s="60"/>
    </row>
    <row r="61" spans="1:19" s="7" customFormat="1" ht="36" customHeight="1">
      <c r="A61" s="9" t="s">
        <v>89</v>
      </c>
      <c r="B61" s="9" t="s">
        <v>78</v>
      </c>
      <c r="C61" s="40" t="s">
        <v>91</v>
      </c>
      <c r="D61" s="102">
        <v>6210600</v>
      </c>
      <c r="E61" s="102">
        <v>6210600</v>
      </c>
      <c r="F61" s="102"/>
      <c r="G61" s="102"/>
      <c r="H61" s="102"/>
      <c r="I61" s="94"/>
      <c r="J61" s="102"/>
      <c r="K61" s="105"/>
      <c r="L61" s="102"/>
      <c r="M61" s="102"/>
      <c r="N61" s="102"/>
      <c r="O61" s="102"/>
      <c r="P61" s="102">
        <f t="shared" si="0"/>
        <v>6210600</v>
      </c>
      <c r="R61" s="60"/>
      <c r="S61" s="60"/>
    </row>
    <row r="62" spans="1:19" s="7" customFormat="1" ht="0.75" hidden="1" customHeight="1">
      <c r="A62" s="9" t="s">
        <v>301</v>
      </c>
      <c r="B62" s="9" t="s">
        <v>78</v>
      </c>
      <c r="C62" s="40" t="s">
        <v>302</v>
      </c>
      <c r="D62" s="102">
        <f>4000000-4000000</f>
        <v>0</v>
      </c>
      <c r="E62" s="102">
        <f>4000000-4000000</f>
        <v>0</v>
      </c>
      <c r="F62" s="102"/>
      <c r="G62" s="102"/>
      <c r="H62" s="102"/>
      <c r="I62" s="94"/>
      <c r="J62" s="102"/>
      <c r="K62" s="105"/>
      <c r="L62" s="102"/>
      <c r="M62" s="102"/>
      <c r="N62" s="102"/>
      <c r="O62" s="102"/>
      <c r="P62" s="102">
        <f t="shared" si="0"/>
        <v>0</v>
      </c>
      <c r="R62" s="60"/>
      <c r="S62" s="60"/>
    </row>
    <row r="63" spans="1:19" s="17" customFormat="1" ht="44.25" customHeight="1">
      <c r="A63" s="15" t="s">
        <v>303</v>
      </c>
      <c r="B63" s="15" t="s">
        <v>64</v>
      </c>
      <c r="C63" s="41" t="s">
        <v>304</v>
      </c>
      <c r="D63" s="94">
        <f>E63+H63</f>
        <v>129280</v>
      </c>
      <c r="E63" s="94">
        <v>129280</v>
      </c>
      <c r="F63" s="94"/>
      <c r="G63" s="94"/>
      <c r="H63" s="94"/>
      <c r="I63" s="94"/>
      <c r="J63" s="94"/>
      <c r="K63" s="95"/>
      <c r="L63" s="94"/>
      <c r="M63" s="94"/>
      <c r="N63" s="94"/>
      <c r="O63" s="94"/>
      <c r="P63" s="94">
        <f>D63+I63</f>
        <v>129280</v>
      </c>
      <c r="R63" s="59"/>
      <c r="S63" s="59"/>
    </row>
    <row r="64" spans="1:19" s="116" customFormat="1" ht="201" customHeight="1">
      <c r="A64" s="30" t="s">
        <v>105</v>
      </c>
      <c r="B64" s="30"/>
      <c r="C64" s="115" t="s">
        <v>239</v>
      </c>
      <c r="D64" s="94">
        <f>D65+D67+D66+D68</f>
        <v>18823600</v>
      </c>
      <c r="E64" s="94">
        <f>E65+E67+E66+E68</f>
        <v>18823600</v>
      </c>
      <c r="F64" s="96"/>
      <c r="G64" s="96"/>
      <c r="H64" s="96"/>
      <c r="I64" s="94"/>
      <c r="J64" s="96"/>
      <c r="K64" s="97"/>
      <c r="L64" s="96"/>
      <c r="M64" s="96"/>
      <c r="N64" s="96"/>
      <c r="O64" s="96"/>
      <c r="P64" s="94">
        <f t="shared" si="0"/>
        <v>18823600</v>
      </c>
      <c r="R64" s="117"/>
      <c r="S64" s="118"/>
    </row>
    <row r="65" spans="1:19" s="7" customFormat="1" ht="57.75" customHeight="1">
      <c r="A65" s="9" t="s">
        <v>240</v>
      </c>
      <c r="B65" s="9" t="s">
        <v>20</v>
      </c>
      <c r="C65" s="8" t="s">
        <v>242</v>
      </c>
      <c r="D65" s="102">
        <v>11854000</v>
      </c>
      <c r="E65" s="102">
        <v>11854000</v>
      </c>
      <c r="F65" s="102"/>
      <c r="G65" s="102"/>
      <c r="H65" s="102"/>
      <c r="I65" s="94"/>
      <c r="J65" s="102"/>
      <c r="K65" s="105"/>
      <c r="L65" s="102"/>
      <c r="M65" s="102"/>
      <c r="N65" s="102"/>
      <c r="O65" s="102"/>
      <c r="P65" s="102">
        <f t="shared" si="0"/>
        <v>11854000</v>
      </c>
      <c r="R65" s="60"/>
      <c r="S65" s="60"/>
    </row>
    <row r="66" spans="1:19" s="7" customFormat="1" ht="63.75">
      <c r="A66" s="9" t="s">
        <v>264</v>
      </c>
      <c r="B66" s="9" t="s">
        <v>20</v>
      </c>
      <c r="C66" s="8" t="s">
        <v>263</v>
      </c>
      <c r="D66" s="102">
        <v>4231000</v>
      </c>
      <c r="E66" s="102">
        <v>4231000</v>
      </c>
      <c r="F66" s="102"/>
      <c r="G66" s="102"/>
      <c r="H66" s="102"/>
      <c r="I66" s="94"/>
      <c r="J66" s="102"/>
      <c r="K66" s="105"/>
      <c r="L66" s="102"/>
      <c r="M66" s="102"/>
      <c r="N66" s="102"/>
      <c r="O66" s="102"/>
      <c r="P66" s="102">
        <f t="shared" si="0"/>
        <v>4231000</v>
      </c>
      <c r="R66" s="60"/>
      <c r="S66" s="60"/>
    </row>
    <row r="67" spans="1:19" s="7" customFormat="1" ht="48.75">
      <c r="A67" s="9" t="s">
        <v>241</v>
      </c>
      <c r="B67" s="9" t="s">
        <v>20</v>
      </c>
      <c r="C67" s="8" t="s">
        <v>243</v>
      </c>
      <c r="D67" s="102">
        <v>1748000</v>
      </c>
      <c r="E67" s="102">
        <v>1748000</v>
      </c>
      <c r="F67" s="119"/>
      <c r="G67" s="119"/>
      <c r="H67" s="119"/>
      <c r="I67" s="119"/>
      <c r="J67" s="119"/>
      <c r="K67" s="120"/>
      <c r="L67" s="119"/>
      <c r="M67" s="119"/>
      <c r="N67" s="119"/>
      <c r="O67" s="119"/>
      <c r="P67" s="119">
        <f t="shared" si="0"/>
        <v>1748000</v>
      </c>
      <c r="R67" s="60"/>
      <c r="S67" s="60"/>
    </row>
    <row r="68" spans="1:19" s="121" customFormat="1" ht="63.75">
      <c r="A68" s="111" t="s">
        <v>305</v>
      </c>
      <c r="B68" s="111" t="s">
        <v>78</v>
      </c>
      <c r="C68" s="8" t="s">
        <v>306</v>
      </c>
      <c r="D68" s="102">
        <v>990600</v>
      </c>
      <c r="E68" s="102">
        <v>990600</v>
      </c>
      <c r="F68" s="102"/>
      <c r="G68" s="102"/>
      <c r="H68" s="102"/>
      <c r="I68" s="102"/>
      <c r="J68" s="102"/>
      <c r="K68" s="105"/>
      <c r="L68" s="102"/>
      <c r="M68" s="102"/>
      <c r="N68" s="102"/>
      <c r="O68" s="102"/>
      <c r="P68" s="109">
        <f t="shared" si="0"/>
        <v>990600</v>
      </c>
      <c r="R68" s="122"/>
      <c r="S68" s="122"/>
    </row>
    <row r="69" spans="1:19" s="123" customFormat="1" ht="32.25">
      <c r="A69" s="30" t="s">
        <v>307</v>
      </c>
      <c r="B69" s="30" t="s">
        <v>24</v>
      </c>
      <c r="C69" s="18" t="s">
        <v>308</v>
      </c>
      <c r="D69" s="94">
        <f>E69+H69</f>
        <v>57500</v>
      </c>
      <c r="E69" s="94">
        <v>57500</v>
      </c>
      <c r="F69" s="94"/>
      <c r="G69" s="94"/>
      <c r="H69" s="94"/>
      <c r="I69" s="94"/>
      <c r="J69" s="94"/>
      <c r="K69" s="95"/>
      <c r="L69" s="94"/>
      <c r="M69" s="94"/>
      <c r="N69" s="94"/>
      <c r="O69" s="94"/>
      <c r="P69" s="106">
        <f>D69+I69</f>
        <v>57500</v>
      </c>
      <c r="R69" s="124"/>
      <c r="S69" s="124"/>
    </row>
    <row r="70" spans="1:19" s="19" customFormat="1" ht="63.75">
      <c r="A70" s="15" t="s">
        <v>101</v>
      </c>
      <c r="B70" s="15"/>
      <c r="C70" s="18" t="s">
        <v>244</v>
      </c>
      <c r="D70" s="94">
        <f>D71</f>
        <v>6117900</v>
      </c>
      <c r="E70" s="94">
        <f>E71</f>
        <v>6117900</v>
      </c>
      <c r="F70" s="94">
        <f t="shared" ref="F70:O70" si="8">F71+F72</f>
        <v>5867200</v>
      </c>
      <c r="G70" s="94">
        <f t="shared" si="8"/>
        <v>63500</v>
      </c>
      <c r="H70" s="94"/>
      <c r="I70" s="94">
        <f t="shared" si="8"/>
        <v>22000</v>
      </c>
      <c r="J70" s="94">
        <f>J71+J72</f>
        <v>0</v>
      </c>
      <c r="K70" s="95">
        <f>K71+K72</f>
        <v>0</v>
      </c>
      <c r="L70" s="94">
        <f t="shared" si="8"/>
        <v>8000</v>
      </c>
      <c r="M70" s="94">
        <f t="shared" si="8"/>
        <v>0</v>
      </c>
      <c r="N70" s="94">
        <f t="shared" si="8"/>
        <v>0</v>
      </c>
      <c r="O70" s="94">
        <f t="shared" si="8"/>
        <v>14000</v>
      </c>
      <c r="P70" s="94">
        <f>D70+I70</f>
        <v>6139900</v>
      </c>
      <c r="R70" s="59"/>
      <c r="S70" s="125"/>
    </row>
    <row r="71" spans="1:19" s="7" customFormat="1" ht="63.75">
      <c r="A71" s="9" t="s">
        <v>102</v>
      </c>
      <c r="B71" s="9" t="s">
        <v>21</v>
      </c>
      <c r="C71" s="8" t="s">
        <v>106</v>
      </c>
      <c r="D71" s="102">
        <f>E71+H71</f>
        <v>6117900</v>
      </c>
      <c r="E71" s="102">
        <f>6190300-72400</f>
        <v>6117900</v>
      </c>
      <c r="F71" s="102">
        <f>5939600-72400</f>
        <v>5867200</v>
      </c>
      <c r="G71" s="102">
        <v>63500</v>
      </c>
      <c r="H71" s="102"/>
      <c r="I71" s="109">
        <f>L71+O71</f>
        <v>22000</v>
      </c>
      <c r="J71" s="109"/>
      <c r="K71" s="110"/>
      <c r="L71" s="109">
        <v>8000</v>
      </c>
      <c r="M71" s="109"/>
      <c r="N71" s="109"/>
      <c r="O71" s="109">
        <v>14000</v>
      </c>
      <c r="P71" s="109">
        <f t="shared" ref="P71:P80" si="9">D71+I71</f>
        <v>6139900</v>
      </c>
      <c r="R71" s="60"/>
      <c r="S71" s="60"/>
    </row>
    <row r="72" spans="1:19" s="19" customFormat="1" ht="32.25">
      <c r="A72" s="15" t="s">
        <v>94</v>
      </c>
      <c r="B72" s="15"/>
      <c r="C72" s="18" t="s">
        <v>96</v>
      </c>
      <c r="D72" s="94">
        <f>D73</f>
        <v>33100</v>
      </c>
      <c r="E72" s="94">
        <f>E73</f>
        <v>33100</v>
      </c>
      <c r="F72" s="94"/>
      <c r="G72" s="94"/>
      <c r="H72" s="94"/>
      <c r="I72" s="94"/>
      <c r="J72" s="94"/>
      <c r="K72" s="95"/>
      <c r="L72" s="94"/>
      <c r="M72" s="94"/>
      <c r="N72" s="94"/>
      <c r="O72" s="94"/>
      <c r="P72" s="94">
        <f>D72+I72</f>
        <v>33100</v>
      </c>
      <c r="R72" s="125"/>
      <c r="S72" s="125"/>
    </row>
    <row r="73" spans="1:19" s="7" customFormat="1" ht="38.25" customHeight="1">
      <c r="A73" s="9" t="s">
        <v>95</v>
      </c>
      <c r="B73" s="9" t="s">
        <v>78</v>
      </c>
      <c r="C73" s="8" t="s">
        <v>107</v>
      </c>
      <c r="D73" s="102">
        <f>E73+H73</f>
        <v>33100</v>
      </c>
      <c r="E73" s="102">
        <v>33100</v>
      </c>
      <c r="F73" s="102"/>
      <c r="G73" s="102"/>
      <c r="H73" s="102"/>
      <c r="I73" s="102"/>
      <c r="J73" s="102"/>
      <c r="K73" s="105"/>
      <c r="L73" s="102"/>
      <c r="M73" s="102"/>
      <c r="N73" s="102"/>
      <c r="O73" s="102"/>
      <c r="P73" s="102">
        <f t="shared" si="9"/>
        <v>33100</v>
      </c>
      <c r="R73" s="60"/>
      <c r="S73" s="60"/>
    </row>
    <row r="74" spans="1:19" s="17" customFormat="1" ht="32.25">
      <c r="A74" s="15" t="s">
        <v>134</v>
      </c>
      <c r="B74" s="15"/>
      <c r="C74" s="18" t="s">
        <v>98</v>
      </c>
      <c r="D74" s="94">
        <f>D75+D76</f>
        <v>3764300</v>
      </c>
      <c r="E74" s="94">
        <f>E75+E76</f>
        <v>3764300</v>
      </c>
      <c r="F74" s="94">
        <f>F75+F76</f>
        <v>1668800</v>
      </c>
      <c r="G74" s="94">
        <f>G75+G76</f>
        <v>120000</v>
      </c>
      <c r="H74" s="94"/>
      <c r="I74" s="94">
        <f>L74+O74</f>
        <v>12000</v>
      </c>
      <c r="J74" s="94">
        <f t="shared" ref="J74:O74" si="10">J75</f>
        <v>12000</v>
      </c>
      <c r="K74" s="95">
        <f t="shared" si="10"/>
        <v>12000</v>
      </c>
      <c r="L74" s="94">
        <f t="shared" si="10"/>
        <v>0</v>
      </c>
      <c r="M74" s="94">
        <f t="shared" si="10"/>
        <v>0</v>
      </c>
      <c r="N74" s="94">
        <f t="shared" si="10"/>
        <v>0</v>
      </c>
      <c r="O74" s="94">
        <f t="shared" si="10"/>
        <v>12000</v>
      </c>
      <c r="P74" s="94">
        <f>D74+I74</f>
        <v>3776300</v>
      </c>
      <c r="R74" s="59"/>
      <c r="S74" s="59"/>
    </row>
    <row r="75" spans="1:19" s="7" customFormat="1" ht="48">
      <c r="A75" s="9" t="s">
        <v>135</v>
      </c>
      <c r="B75" s="9" t="s">
        <v>78</v>
      </c>
      <c r="C75" s="8" t="s">
        <v>136</v>
      </c>
      <c r="D75" s="102">
        <f>E75+H75</f>
        <v>3493400</v>
      </c>
      <c r="E75" s="102">
        <v>3493400</v>
      </c>
      <c r="F75" s="102">
        <f>2901200-54000-1178400</f>
        <v>1668800</v>
      </c>
      <c r="G75" s="102">
        <v>120000</v>
      </c>
      <c r="H75" s="102"/>
      <c r="I75" s="94">
        <f>L75+O75</f>
        <v>12000</v>
      </c>
      <c r="J75" s="109">
        <v>12000</v>
      </c>
      <c r="K75" s="110">
        <v>12000</v>
      </c>
      <c r="L75" s="109"/>
      <c r="M75" s="109"/>
      <c r="N75" s="109"/>
      <c r="O75" s="109">
        <v>12000</v>
      </c>
      <c r="P75" s="109">
        <f>D75+I75</f>
        <v>3505400</v>
      </c>
      <c r="R75" s="60"/>
      <c r="S75" s="60"/>
    </row>
    <row r="76" spans="1:19" s="7" customFormat="1" ht="33" customHeight="1">
      <c r="A76" s="9" t="s">
        <v>137</v>
      </c>
      <c r="B76" s="9" t="s">
        <v>78</v>
      </c>
      <c r="C76" s="8" t="s">
        <v>108</v>
      </c>
      <c r="D76" s="109">
        <f>E76+H76</f>
        <v>270900</v>
      </c>
      <c r="E76" s="109">
        <v>270900</v>
      </c>
      <c r="F76" s="109"/>
      <c r="G76" s="109"/>
      <c r="H76" s="109"/>
      <c r="I76" s="109"/>
      <c r="J76" s="109"/>
      <c r="K76" s="110"/>
      <c r="L76" s="109"/>
      <c r="M76" s="109"/>
      <c r="N76" s="109"/>
      <c r="O76" s="109"/>
      <c r="P76" s="109">
        <f t="shared" si="9"/>
        <v>270900</v>
      </c>
      <c r="R76" s="60"/>
      <c r="S76" s="60"/>
    </row>
    <row r="77" spans="1:19" s="19" customFormat="1" ht="32.25">
      <c r="A77" s="15" t="s">
        <v>97</v>
      </c>
      <c r="B77" s="15"/>
      <c r="C77" s="18" t="s">
        <v>115</v>
      </c>
      <c r="D77" s="106">
        <f>D78</f>
        <v>554400</v>
      </c>
      <c r="E77" s="106">
        <f>E78</f>
        <v>554400</v>
      </c>
      <c r="F77" s="106"/>
      <c r="G77" s="106"/>
      <c r="H77" s="106"/>
      <c r="I77" s="106"/>
      <c r="J77" s="106"/>
      <c r="K77" s="126"/>
      <c r="L77" s="106"/>
      <c r="M77" s="106"/>
      <c r="N77" s="106"/>
      <c r="O77" s="106"/>
      <c r="P77" s="106">
        <f t="shared" si="9"/>
        <v>554400</v>
      </c>
      <c r="R77" s="125"/>
      <c r="S77" s="125"/>
    </row>
    <row r="78" spans="1:19" s="7" customFormat="1" ht="41.25" customHeight="1">
      <c r="A78" s="9" t="s">
        <v>138</v>
      </c>
      <c r="B78" s="9" t="s">
        <v>78</v>
      </c>
      <c r="C78" s="8" t="s">
        <v>116</v>
      </c>
      <c r="D78" s="109">
        <f>E78+H78</f>
        <v>554400</v>
      </c>
      <c r="E78" s="109">
        <v>554400</v>
      </c>
      <c r="F78" s="109"/>
      <c r="G78" s="109"/>
      <c r="H78" s="109"/>
      <c r="I78" s="109"/>
      <c r="J78" s="109"/>
      <c r="K78" s="110"/>
      <c r="L78" s="109"/>
      <c r="M78" s="109"/>
      <c r="N78" s="109"/>
      <c r="O78" s="109"/>
      <c r="P78" s="109">
        <f>D78</f>
        <v>554400</v>
      </c>
      <c r="R78" s="60"/>
      <c r="S78" s="60"/>
    </row>
    <row r="79" spans="1:19" s="19" customFormat="1" ht="79.5">
      <c r="A79" s="15" t="s">
        <v>99</v>
      </c>
      <c r="B79" s="15" t="s">
        <v>78</v>
      </c>
      <c r="C79" s="18" t="s">
        <v>100</v>
      </c>
      <c r="D79" s="106">
        <f>E79+H79</f>
        <v>1522300</v>
      </c>
      <c r="E79" s="94">
        <f>170000+1153100+307400-108200</f>
        <v>1522300</v>
      </c>
      <c r="F79" s="94"/>
      <c r="G79" s="94"/>
      <c r="H79" s="94"/>
      <c r="I79" s="94"/>
      <c r="J79" s="94"/>
      <c r="K79" s="95"/>
      <c r="L79" s="94"/>
      <c r="M79" s="94"/>
      <c r="N79" s="94"/>
      <c r="O79" s="94"/>
      <c r="P79" s="94">
        <f t="shared" si="9"/>
        <v>1522300</v>
      </c>
      <c r="R79" s="125"/>
      <c r="S79" s="125"/>
    </row>
    <row r="80" spans="1:19" s="12" customFormat="1" ht="95.25">
      <c r="A80" s="15" t="s">
        <v>166</v>
      </c>
      <c r="B80" s="127" t="s">
        <v>20</v>
      </c>
      <c r="C80" s="18" t="s">
        <v>245</v>
      </c>
      <c r="D80" s="94">
        <f>E80+H80</f>
        <v>542200</v>
      </c>
      <c r="E80" s="94">
        <v>542200</v>
      </c>
      <c r="F80" s="94"/>
      <c r="G80" s="94"/>
      <c r="H80" s="94"/>
      <c r="I80" s="94"/>
      <c r="J80" s="94"/>
      <c r="K80" s="95"/>
      <c r="L80" s="94"/>
      <c r="M80" s="94"/>
      <c r="N80" s="94"/>
      <c r="O80" s="94"/>
      <c r="P80" s="94">
        <f t="shared" si="9"/>
        <v>542200</v>
      </c>
      <c r="R80" s="128"/>
      <c r="S80" s="128"/>
    </row>
    <row r="81" spans="1:19" s="12" customFormat="1" ht="32.25">
      <c r="A81" s="15" t="s">
        <v>309</v>
      </c>
      <c r="B81" s="127"/>
      <c r="C81" s="18" t="s">
        <v>310</v>
      </c>
      <c r="D81" s="94">
        <f>D82</f>
        <v>29040</v>
      </c>
      <c r="E81" s="94">
        <f>E82</f>
        <v>29040</v>
      </c>
      <c r="F81" s="94"/>
      <c r="G81" s="94"/>
      <c r="H81" s="94"/>
      <c r="I81" s="94"/>
      <c r="J81" s="94"/>
      <c r="K81" s="95"/>
      <c r="L81" s="94"/>
      <c r="M81" s="94"/>
      <c r="N81" s="94"/>
      <c r="O81" s="94"/>
      <c r="P81" s="94">
        <f>P82</f>
        <v>29040</v>
      </c>
      <c r="R81" s="128"/>
      <c r="S81" s="128"/>
    </row>
    <row r="82" spans="1:19" s="129" customFormat="1" ht="64.5">
      <c r="A82" s="9" t="s">
        <v>311</v>
      </c>
      <c r="B82" s="9" t="s">
        <v>20</v>
      </c>
      <c r="C82" s="8" t="s">
        <v>312</v>
      </c>
      <c r="D82" s="102">
        <f>E82+H82</f>
        <v>29040</v>
      </c>
      <c r="E82" s="102">
        <v>29040</v>
      </c>
      <c r="F82" s="119"/>
      <c r="G82" s="119"/>
      <c r="H82" s="119"/>
      <c r="I82" s="119"/>
      <c r="J82" s="119"/>
      <c r="K82" s="120"/>
      <c r="L82" s="119"/>
      <c r="M82" s="119"/>
      <c r="N82" s="119"/>
      <c r="O82" s="119"/>
      <c r="P82" s="102">
        <f>D82+I82</f>
        <v>29040</v>
      </c>
      <c r="R82" s="130"/>
      <c r="S82" s="130"/>
    </row>
    <row r="83" spans="1:19" s="12" customFormat="1" ht="95.25">
      <c r="A83" s="15" t="s">
        <v>103</v>
      </c>
      <c r="B83" s="15" t="s">
        <v>26</v>
      </c>
      <c r="C83" s="18" t="s">
        <v>246</v>
      </c>
      <c r="D83" s="106">
        <f>E83+H83</f>
        <v>935000</v>
      </c>
      <c r="E83" s="106">
        <v>935000</v>
      </c>
      <c r="F83" s="106"/>
      <c r="G83" s="106"/>
      <c r="H83" s="106"/>
      <c r="I83" s="94"/>
      <c r="J83" s="106"/>
      <c r="K83" s="126"/>
      <c r="L83" s="106"/>
      <c r="M83" s="106"/>
      <c r="N83" s="106"/>
      <c r="O83" s="106"/>
      <c r="P83" s="106">
        <f t="shared" si="0"/>
        <v>935000</v>
      </c>
      <c r="R83" s="128"/>
      <c r="S83" s="128"/>
    </row>
    <row r="84" spans="1:19" s="12" customFormat="1" ht="38.25" customHeight="1">
      <c r="A84" s="15" t="s">
        <v>247</v>
      </c>
      <c r="B84" s="15"/>
      <c r="C84" s="18" t="s">
        <v>104</v>
      </c>
      <c r="D84" s="106">
        <f>D85</f>
        <v>50000</v>
      </c>
      <c r="E84" s="106">
        <f>E85</f>
        <v>50000</v>
      </c>
      <c r="F84" s="106"/>
      <c r="G84" s="106"/>
      <c r="H84" s="106"/>
      <c r="I84" s="94"/>
      <c r="J84" s="106"/>
      <c r="K84" s="126"/>
      <c r="L84" s="106"/>
      <c r="M84" s="106"/>
      <c r="N84" s="106"/>
      <c r="O84" s="106"/>
      <c r="P84" s="106">
        <f>P85</f>
        <v>50000</v>
      </c>
      <c r="R84" s="128"/>
      <c r="S84" s="128"/>
    </row>
    <row r="85" spans="1:19" s="13" customFormat="1" ht="78" customHeight="1">
      <c r="A85" s="9" t="s">
        <v>248</v>
      </c>
      <c r="B85" s="9" t="s">
        <v>24</v>
      </c>
      <c r="C85" s="8" t="s">
        <v>249</v>
      </c>
      <c r="D85" s="109">
        <f>E85+H85</f>
        <v>50000</v>
      </c>
      <c r="E85" s="109">
        <v>50000</v>
      </c>
      <c r="F85" s="109"/>
      <c r="G85" s="109"/>
      <c r="H85" s="109"/>
      <c r="I85" s="109"/>
      <c r="J85" s="109"/>
      <c r="K85" s="110"/>
      <c r="L85" s="109"/>
      <c r="M85" s="109"/>
      <c r="N85" s="109"/>
      <c r="O85" s="109"/>
      <c r="P85" s="109">
        <f t="shared" si="0"/>
        <v>50000</v>
      </c>
      <c r="R85" s="61"/>
      <c r="S85" s="61"/>
    </row>
    <row r="86" spans="1:19" s="12" customFormat="1" ht="33">
      <c r="A86" s="15" t="s">
        <v>237</v>
      </c>
      <c r="B86" s="15" t="s">
        <v>199</v>
      </c>
      <c r="C86" s="18" t="s">
        <v>200</v>
      </c>
      <c r="D86" s="106">
        <f>E86+H86</f>
        <v>50000</v>
      </c>
      <c r="E86" s="106">
        <v>50000</v>
      </c>
      <c r="F86" s="106"/>
      <c r="G86" s="106"/>
      <c r="H86" s="106"/>
      <c r="I86" s="106"/>
      <c r="J86" s="106"/>
      <c r="K86" s="126"/>
      <c r="L86" s="106"/>
      <c r="M86" s="106"/>
      <c r="N86" s="106"/>
      <c r="O86" s="106"/>
      <c r="P86" s="131">
        <f t="shared" si="0"/>
        <v>50000</v>
      </c>
      <c r="R86" s="128"/>
      <c r="S86" s="128"/>
    </row>
    <row r="87" spans="1:19" ht="18.75">
      <c r="A87" s="30" t="s">
        <v>250</v>
      </c>
      <c r="B87" s="30"/>
      <c r="C87" s="18" t="s">
        <v>221</v>
      </c>
      <c r="D87" s="94">
        <f>D88</f>
        <v>37743900</v>
      </c>
      <c r="E87" s="94">
        <f>E88</f>
        <v>37743900</v>
      </c>
      <c r="F87" s="94">
        <f t="shared" ref="F87:O87" si="11">F88</f>
        <v>0</v>
      </c>
      <c r="G87" s="94">
        <f t="shared" si="11"/>
        <v>0</v>
      </c>
      <c r="H87" s="94"/>
      <c r="I87" s="94">
        <f t="shared" si="11"/>
        <v>0</v>
      </c>
      <c r="J87" s="94">
        <f t="shared" si="11"/>
        <v>0</v>
      </c>
      <c r="K87" s="95">
        <f t="shared" si="11"/>
        <v>0</v>
      </c>
      <c r="L87" s="94">
        <f t="shared" si="11"/>
        <v>0</v>
      </c>
      <c r="M87" s="94">
        <f t="shared" si="11"/>
        <v>0</v>
      </c>
      <c r="N87" s="94">
        <f t="shared" si="11"/>
        <v>0</v>
      </c>
      <c r="O87" s="94">
        <f t="shared" si="11"/>
        <v>0</v>
      </c>
      <c r="P87" s="106">
        <f t="shared" si="0"/>
        <v>37743900</v>
      </c>
    </row>
    <row r="88" spans="1:19" ht="32.25">
      <c r="A88" s="10" t="s">
        <v>251</v>
      </c>
      <c r="B88" s="10" t="s">
        <v>28</v>
      </c>
      <c r="C88" s="6" t="s">
        <v>252</v>
      </c>
      <c r="D88" s="96">
        <f>E88</f>
        <v>37743900</v>
      </c>
      <c r="E88" s="96">
        <f>2954400+10702600+23978700+108200</f>
        <v>37743900</v>
      </c>
      <c r="F88" s="96"/>
      <c r="G88" s="96"/>
      <c r="H88" s="96"/>
      <c r="I88" s="94"/>
      <c r="J88" s="96"/>
      <c r="K88" s="97"/>
      <c r="L88" s="96"/>
      <c r="M88" s="96"/>
      <c r="N88" s="96"/>
      <c r="O88" s="96"/>
      <c r="P88" s="107">
        <f t="shared" si="0"/>
        <v>37743900</v>
      </c>
    </row>
    <row r="89" spans="1:19" s="17" customFormat="1" ht="18.75">
      <c r="A89" s="15" t="s">
        <v>50</v>
      </c>
      <c r="B89" s="15"/>
      <c r="C89" s="41" t="s">
        <v>9</v>
      </c>
      <c r="D89" s="94">
        <f>D90+D91+D92+D93</f>
        <v>15345400</v>
      </c>
      <c r="E89" s="94">
        <f>E90+E91+E92+E93</f>
        <v>15345400</v>
      </c>
      <c r="F89" s="94">
        <f>F90+F91+F92+F93</f>
        <v>11490700</v>
      </c>
      <c r="G89" s="94">
        <f t="shared" ref="G89:O89" si="12">G90+G91+G92+G93</f>
        <v>1583300</v>
      </c>
      <c r="H89" s="94">
        <f>H91+H92</f>
        <v>0</v>
      </c>
      <c r="I89" s="94">
        <f t="shared" si="12"/>
        <v>2540000</v>
      </c>
      <c r="J89" s="94">
        <f>J90+J91+J92+J93</f>
        <v>2287400</v>
      </c>
      <c r="K89" s="95">
        <f>K90+K91+K92+K93</f>
        <v>2287400</v>
      </c>
      <c r="L89" s="94">
        <f t="shared" si="12"/>
        <v>252600</v>
      </c>
      <c r="M89" s="94">
        <f t="shared" si="12"/>
        <v>30500</v>
      </c>
      <c r="N89" s="94">
        <f t="shared" si="12"/>
        <v>0</v>
      </c>
      <c r="O89" s="94">
        <f t="shared" si="12"/>
        <v>2287400</v>
      </c>
      <c r="P89" s="94">
        <f t="shared" si="0"/>
        <v>17885400</v>
      </c>
      <c r="R89" s="59"/>
      <c r="S89" s="59"/>
    </row>
    <row r="90" spans="1:19" ht="18.75">
      <c r="A90" s="10" t="s">
        <v>139</v>
      </c>
      <c r="B90" s="10" t="s">
        <v>52</v>
      </c>
      <c r="C90" s="42" t="s">
        <v>142</v>
      </c>
      <c r="D90" s="96">
        <f>E90+H90</f>
        <v>5059800</v>
      </c>
      <c r="E90" s="96">
        <f>5109800+25000-75000</f>
        <v>5059800</v>
      </c>
      <c r="F90" s="96">
        <v>4075800</v>
      </c>
      <c r="G90" s="96">
        <v>588500</v>
      </c>
      <c r="H90" s="96"/>
      <c r="I90" s="96">
        <f>O90+L90</f>
        <v>1795200</v>
      </c>
      <c r="J90" s="96">
        <v>1738200</v>
      </c>
      <c r="K90" s="97">
        <v>1738200</v>
      </c>
      <c r="L90" s="96">
        <v>57000</v>
      </c>
      <c r="M90" s="96"/>
      <c r="N90" s="96"/>
      <c r="O90" s="96">
        <v>1738200</v>
      </c>
      <c r="P90" s="96">
        <f t="shared" si="0"/>
        <v>6855000</v>
      </c>
    </row>
    <row r="91" spans="1:19" ht="18.75">
      <c r="A91" s="10" t="s">
        <v>140</v>
      </c>
      <c r="B91" s="10" t="s">
        <v>52</v>
      </c>
      <c r="C91" s="42" t="s">
        <v>141</v>
      </c>
      <c r="D91" s="96">
        <f>E91+H91</f>
        <v>1684600</v>
      </c>
      <c r="E91" s="96">
        <f>1714100+25000-54500</f>
        <v>1684600</v>
      </c>
      <c r="F91" s="96">
        <v>1296900</v>
      </c>
      <c r="G91" s="96">
        <v>240100</v>
      </c>
      <c r="H91" s="96"/>
      <c r="I91" s="96">
        <f>L91+O91</f>
        <v>126000</v>
      </c>
      <c r="J91" s="96">
        <v>94500</v>
      </c>
      <c r="K91" s="97">
        <v>94500</v>
      </c>
      <c r="L91" s="96">
        <v>31500</v>
      </c>
      <c r="M91" s="96"/>
      <c r="N91" s="96"/>
      <c r="O91" s="96">
        <v>94500</v>
      </c>
      <c r="P91" s="96">
        <f t="shared" si="0"/>
        <v>1810600</v>
      </c>
    </row>
    <row r="92" spans="1:19" ht="45.75">
      <c r="A92" s="10" t="s">
        <v>51</v>
      </c>
      <c r="B92" s="10" t="s">
        <v>53</v>
      </c>
      <c r="C92" s="42" t="s">
        <v>143</v>
      </c>
      <c r="D92" s="96">
        <f>E92+H92</f>
        <v>6379200</v>
      </c>
      <c r="E92" s="96">
        <f>6499200+25000-145000</f>
        <v>6379200</v>
      </c>
      <c r="F92" s="96">
        <v>5102000</v>
      </c>
      <c r="G92" s="96">
        <v>722900</v>
      </c>
      <c r="H92" s="96"/>
      <c r="I92" s="96">
        <f>L92+O92</f>
        <v>618800</v>
      </c>
      <c r="J92" s="96">
        <v>454700</v>
      </c>
      <c r="K92" s="97">
        <v>454700</v>
      </c>
      <c r="L92" s="96">
        <v>164100</v>
      </c>
      <c r="M92" s="96">
        <f>25000+5500</f>
        <v>30500</v>
      </c>
      <c r="N92" s="96"/>
      <c r="O92" s="96">
        <v>454700</v>
      </c>
      <c r="P92" s="96">
        <f t="shared" si="0"/>
        <v>6998000</v>
      </c>
    </row>
    <row r="93" spans="1:19" ht="30.75">
      <c r="A93" s="10" t="s">
        <v>144</v>
      </c>
      <c r="B93" s="10"/>
      <c r="C93" s="42" t="s">
        <v>145</v>
      </c>
      <c r="D93" s="96">
        <f>D94+D95</f>
        <v>2221800</v>
      </c>
      <c r="E93" s="96">
        <f>E94+E95</f>
        <v>2221800</v>
      </c>
      <c r="F93" s="96">
        <f>F94+F95</f>
        <v>1016000</v>
      </c>
      <c r="G93" s="96">
        <f t="shared" ref="G93:O93" si="13">G94+G95</f>
        <v>31800</v>
      </c>
      <c r="H93" s="96"/>
      <c r="I93" s="96">
        <f t="shared" si="13"/>
        <v>0</v>
      </c>
      <c r="J93" s="96">
        <f>J94+J95</f>
        <v>0</v>
      </c>
      <c r="K93" s="97">
        <f>K94+K95</f>
        <v>0</v>
      </c>
      <c r="L93" s="96">
        <f t="shared" si="13"/>
        <v>0</v>
      </c>
      <c r="M93" s="96">
        <f t="shared" si="13"/>
        <v>0</v>
      </c>
      <c r="N93" s="96">
        <f t="shared" si="13"/>
        <v>0</v>
      </c>
      <c r="O93" s="96">
        <f t="shared" si="13"/>
        <v>0</v>
      </c>
      <c r="P93" s="96">
        <f t="shared" si="0"/>
        <v>2221800</v>
      </c>
    </row>
    <row r="94" spans="1:19" s="13" customFormat="1" ht="30.75">
      <c r="A94" s="9" t="s">
        <v>230</v>
      </c>
      <c r="B94" s="9" t="s">
        <v>54</v>
      </c>
      <c r="C94" s="40" t="s">
        <v>232</v>
      </c>
      <c r="D94" s="102">
        <f>E94+H94</f>
        <v>1115800</v>
      </c>
      <c r="E94" s="102">
        <v>1115800</v>
      </c>
      <c r="F94" s="102">
        <v>1016000</v>
      </c>
      <c r="G94" s="102">
        <v>31800</v>
      </c>
      <c r="H94" s="102"/>
      <c r="I94" s="96"/>
      <c r="J94" s="102"/>
      <c r="K94" s="105"/>
      <c r="L94" s="102"/>
      <c r="M94" s="102"/>
      <c r="N94" s="102"/>
      <c r="O94" s="102"/>
      <c r="P94" s="102">
        <f t="shared" si="0"/>
        <v>1115800</v>
      </c>
      <c r="R94" s="61"/>
      <c r="S94" s="61"/>
    </row>
    <row r="95" spans="1:19" s="13" customFormat="1" ht="18.75">
      <c r="A95" s="9" t="s">
        <v>231</v>
      </c>
      <c r="B95" s="9" t="s">
        <v>54</v>
      </c>
      <c r="C95" s="40" t="s">
        <v>233</v>
      </c>
      <c r="D95" s="102">
        <f>E95+H95</f>
        <v>1106000</v>
      </c>
      <c r="E95" s="102">
        <v>1106000</v>
      </c>
      <c r="F95" s="102"/>
      <c r="G95" s="102"/>
      <c r="H95" s="102"/>
      <c r="I95" s="102"/>
      <c r="J95" s="102"/>
      <c r="K95" s="105"/>
      <c r="L95" s="102"/>
      <c r="M95" s="102"/>
      <c r="N95" s="102"/>
      <c r="O95" s="102"/>
      <c r="P95" s="102">
        <f t="shared" si="0"/>
        <v>1106000</v>
      </c>
      <c r="R95" s="61"/>
      <c r="S95" s="61"/>
    </row>
    <row r="96" spans="1:19" s="17" customFormat="1" ht="18.75">
      <c r="A96" s="15" t="s">
        <v>55</v>
      </c>
      <c r="B96" s="15"/>
      <c r="C96" s="41" t="s">
        <v>12</v>
      </c>
      <c r="D96" s="94">
        <f>D97+D100+D102</f>
        <v>7137400</v>
      </c>
      <c r="E96" s="94">
        <f>E97+E100+E102</f>
        <v>7137400</v>
      </c>
      <c r="F96" s="94">
        <f>F97+F100+F102</f>
        <v>4181500</v>
      </c>
      <c r="G96" s="94">
        <f>G97+G100+G102</f>
        <v>394450</v>
      </c>
      <c r="H96" s="94"/>
      <c r="I96" s="94">
        <f>O96+L96</f>
        <v>5901600</v>
      </c>
      <c r="J96" s="94">
        <f>J100+J102</f>
        <v>5791600</v>
      </c>
      <c r="K96" s="95">
        <f>K100+K102</f>
        <v>5791600</v>
      </c>
      <c r="L96" s="94">
        <f>L100+L102</f>
        <v>110000</v>
      </c>
      <c r="M96" s="94"/>
      <c r="N96" s="94"/>
      <c r="O96" s="94">
        <f>O100+O102</f>
        <v>5791600</v>
      </c>
      <c r="P96" s="94">
        <f t="shared" si="0"/>
        <v>13039000</v>
      </c>
      <c r="R96" s="59"/>
      <c r="S96" s="59"/>
    </row>
    <row r="97" spans="1:19" ht="18.75">
      <c r="A97" s="10" t="s">
        <v>56</v>
      </c>
      <c r="B97" s="10"/>
      <c r="C97" s="42" t="s">
        <v>57</v>
      </c>
      <c r="D97" s="96">
        <f>D98+D99</f>
        <v>860000</v>
      </c>
      <c r="E97" s="96">
        <f>E98+E99</f>
        <v>860000</v>
      </c>
      <c r="F97" s="96"/>
      <c r="G97" s="96"/>
      <c r="H97" s="96"/>
      <c r="I97" s="96"/>
      <c r="J97" s="96"/>
      <c r="K97" s="97"/>
      <c r="L97" s="96"/>
      <c r="M97" s="96"/>
      <c r="N97" s="96"/>
      <c r="O97" s="96"/>
      <c r="P97" s="96">
        <f t="shared" si="0"/>
        <v>860000</v>
      </c>
    </row>
    <row r="98" spans="1:19" s="7" customFormat="1" ht="30.75">
      <c r="A98" s="9" t="s">
        <v>58</v>
      </c>
      <c r="B98" s="9" t="s">
        <v>59</v>
      </c>
      <c r="C98" s="40" t="s">
        <v>60</v>
      </c>
      <c r="D98" s="102">
        <f>E98+H98</f>
        <v>560000</v>
      </c>
      <c r="E98" s="102">
        <f>263300+296700</f>
        <v>560000</v>
      </c>
      <c r="F98" s="102"/>
      <c r="G98" s="102"/>
      <c r="H98" s="102"/>
      <c r="I98" s="102"/>
      <c r="J98" s="102"/>
      <c r="K98" s="105"/>
      <c r="L98" s="102"/>
      <c r="M98" s="102"/>
      <c r="N98" s="102"/>
      <c r="O98" s="102"/>
      <c r="P98" s="96">
        <f t="shared" si="0"/>
        <v>560000</v>
      </c>
      <c r="R98" s="60"/>
      <c r="S98" s="60"/>
    </row>
    <row r="99" spans="1:19" s="7" customFormat="1" ht="30.75">
      <c r="A99" s="9" t="s">
        <v>109</v>
      </c>
      <c r="B99" s="9" t="s">
        <v>59</v>
      </c>
      <c r="C99" s="40" t="s">
        <v>110</v>
      </c>
      <c r="D99" s="102">
        <f>E99+H99</f>
        <v>300000</v>
      </c>
      <c r="E99" s="102">
        <f>190000+110000</f>
        <v>300000</v>
      </c>
      <c r="F99" s="102"/>
      <c r="G99" s="102"/>
      <c r="H99" s="102"/>
      <c r="I99" s="102"/>
      <c r="J99" s="102"/>
      <c r="K99" s="105"/>
      <c r="L99" s="102"/>
      <c r="M99" s="102"/>
      <c r="N99" s="102"/>
      <c r="O99" s="102"/>
      <c r="P99" s="102">
        <f>D99+I99</f>
        <v>300000</v>
      </c>
      <c r="R99" s="60"/>
      <c r="S99" s="60"/>
    </row>
    <row r="100" spans="1:19" ht="34.5" customHeight="1">
      <c r="A100" s="10" t="s">
        <v>113</v>
      </c>
      <c r="B100" s="10"/>
      <c r="C100" s="11" t="s">
        <v>112</v>
      </c>
      <c r="D100" s="96">
        <f>D101</f>
        <v>5139300</v>
      </c>
      <c r="E100" s="96">
        <f>E101</f>
        <v>5139300</v>
      </c>
      <c r="F100" s="96">
        <f>F101</f>
        <v>4181500</v>
      </c>
      <c r="G100" s="96">
        <f>G101</f>
        <v>394450</v>
      </c>
      <c r="H100" s="96"/>
      <c r="I100" s="96">
        <f>L100+O100</f>
        <v>5901600</v>
      </c>
      <c r="J100" s="96">
        <f>J101</f>
        <v>5791600</v>
      </c>
      <c r="K100" s="97">
        <f>K101</f>
        <v>5791600</v>
      </c>
      <c r="L100" s="96">
        <f>L101</f>
        <v>110000</v>
      </c>
      <c r="M100" s="96"/>
      <c r="N100" s="96"/>
      <c r="O100" s="96">
        <f>O101</f>
        <v>5791600</v>
      </c>
      <c r="P100" s="96">
        <f>P101</f>
        <v>11040900</v>
      </c>
    </row>
    <row r="101" spans="1:19" s="7" customFormat="1" ht="46.5" customHeight="1">
      <c r="A101" s="9" t="s">
        <v>114</v>
      </c>
      <c r="B101" s="9" t="s">
        <v>59</v>
      </c>
      <c r="C101" s="40" t="s">
        <v>117</v>
      </c>
      <c r="D101" s="102">
        <f>E101+H101</f>
        <v>5139300</v>
      </c>
      <c r="E101" s="102">
        <f>5189300-50000</f>
        <v>5139300</v>
      </c>
      <c r="F101" s="102">
        <v>4181500</v>
      </c>
      <c r="G101" s="102">
        <v>394450</v>
      </c>
      <c r="H101" s="102"/>
      <c r="I101" s="102">
        <f>L101+O101</f>
        <v>5901600</v>
      </c>
      <c r="J101" s="102">
        <v>5791600</v>
      </c>
      <c r="K101" s="105">
        <v>5791600</v>
      </c>
      <c r="L101" s="102">
        <v>110000</v>
      </c>
      <c r="M101" s="102"/>
      <c r="N101" s="102"/>
      <c r="O101" s="102">
        <v>5791600</v>
      </c>
      <c r="P101" s="102">
        <f>D101+I101</f>
        <v>11040900</v>
      </c>
      <c r="R101" s="60"/>
      <c r="S101" s="60"/>
    </row>
    <row r="102" spans="1:19" ht="36.75" customHeight="1">
      <c r="A102" s="10" t="s">
        <v>118</v>
      </c>
      <c r="B102" s="10"/>
      <c r="C102" s="42" t="s">
        <v>119</v>
      </c>
      <c r="D102" s="96">
        <f>D103</f>
        <v>1138100</v>
      </c>
      <c r="E102" s="96">
        <f>E103</f>
        <v>1138100</v>
      </c>
      <c r="F102" s="96"/>
      <c r="G102" s="96"/>
      <c r="H102" s="96"/>
      <c r="I102" s="96">
        <f>I103</f>
        <v>0</v>
      </c>
      <c r="J102" s="96">
        <f>J103</f>
        <v>0</v>
      </c>
      <c r="K102" s="97">
        <f>K103</f>
        <v>0</v>
      </c>
      <c r="L102" s="96"/>
      <c r="M102" s="96"/>
      <c r="N102" s="96"/>
      <c r="O102" s="96">
        <f>O103</f>
        <v>0</v>
      </c>
      <c r="P102" s="96">
        <f>D102+I102</f>
        <v>1138100</v>
      </c>
    </row>
    <row r="103" spans="1:19" ht="60.75">
      <c r="A103" s="9" t="s">
        <v>120</v>
      </c>
      <c r="B103" s="9" t="s">
        <v>59</v>
      </c>
      <c r="C103" s="43" t="s">
        <v>121</v>
      </c>
      <c r="D103" s="96">
        <f>E103+H103</f>
        <v>1138100</v>
      </c>
      <c r="E103" s="96">
        <f>544800+593300</f>
        <v>1138100</v>
      </c>
      <c r="F103" s="96"/>
      <c r="G103" s="96"/>
      <c r="H103" s="96"/>
      <c r="I103" s="96"/>
      <c r="J103" s="96"/>
      <c r="K103" s="97"/>
      <c r="L103" s="96"/>
      <c r="M103" s="96"/>
      <c r="N103" s="96"/>
      <c r="O103" s="96"/>
      <c r="P103" s="102">
        <f>D103</f>
        <v>1138100</v>
      </c>
    </row>
    <row r="104" spans="1:19" ht="21" customHeight="1">
      <c r="A104" s="15" t="s">
        <v>46</v>
      </c>
      <c r="B104" s="10"/>
      <c r="C104" s="16" t="s">
        <v>8</v>
      </c>
      <c r="D104" s="94">
        <f>D105+D112+D113</f>
        <v>53453100</v>
      </c>
      <c r="E104" s="94">
        <f>E105+E112+E113</f>
        <v>53453100</v>
      </c>
      <c r="F104" s="94">
        <f t="shared" ref="F104:O104" si="14">F105+F112+F113</f>
        <v>0</v>
      </c>
      <c r="G104" s="94">
        <f t="shared" si="14"/>
        <v>0</v>
      </c>
      <c r="H104" s="94"/>
      <c r="I104" s="94">
        <f t="shared" si="14"/>
        <v>48305600</v>
      </c>
      <c r="J104" s="94">
        <f>J105+J112+J113</f>
        <v>48305600</v>
      </c>
      <c r="K104" s="95">
        <f>K105+K112+K113</f>
        <v>46505600</v>
      </c>
      <c r="L104" s="94">
        <f t="shared" si="14"/>
        <v>0</v>
      </c>
      <c r="M104" s="94">
        <f t="shared" si="14"/>
        <v>0</v>
      </c>
      <c r="N104" s="94">
        <f t="shared" si="14"/>
        <v>0</v>
      </c>
      <c r="O104" s="94">
        <f t="shared" si="14"/>
        <v>48305600</v>
      </c>
      <c r="P104" s="94">
        <f t="shared" si="0"/>
        <v>101758700</v>
      </c>
    </row>
    <row r="105" spans="1:19" s="44" customFormat="1" ht="53.25" customHeight="1">
      <c r="A105" s="30" t="s">
        <v>47</v>
      </c>
      <c r="B105" s="30"/>
      <c r="C105" s="18" t="s">
        <v>226</v>
      </c>
      <c r="D105" s="94">
        <f>D106+D107+D108+D109+D110+D111</f>
        <v>4000000</v>
      </c>
      <c r="E105" s="94">
        <f>E106+E107+E108+E109+E110+E111</f>
        <v>4000000</v>
      </c>
      <c r="F105" s="94">
        <f t="shared" ref="F105:O105" si="15">F106+F107+F108+F109+F110+F111</f>
        <v>0</v>
      </c>
      <c r="G105" s="94">
        <f t="shared" si="15"/>
        <v>0</v>
      </c>
      <c r="H105" s="94"/>
      <c r="I105" s="94">
        <f t="shared" si="15"/>
        <v>30865600</v>
      </c>
      <c r="J105" s="94">
        <f>J106+J107+J108+J109+J110+J111</f>
        <v>30865600</v>
      </c>
      <c r="K105" s="95">
        <f>K106+K107+K108+K109+K110+K111</f>
        <v>30865600</v>
      </c>
      <c r="L105" s="94">
        <f t="shared" si="15"/>
        <v>0</v>
      </c>
      <c r="M105" s="94">
        <f t="shared" si="15"/>
        <v>0</v>
      </c>
      <c r="N105" s="94">
        <f t="shared" si="15"/>
        <v>0</v>
      </c>
      <c r="O105" s="94">
        <f t="shared" si="15"/>
        <v>30865600</v>
      </c>
      <c r="P105" s="94">
        <f>D105+I105</f>
        <v>34865600</v>
      </c>
      <c r="R105" s="70"/>
      <c r="S105" s="70"/>
    </row>
    <row r="106" spans="1:19" ht="32.25">
      <c r="A106" s="9" t="s">
        <v>167</v>
      </c>
      <c r="B106" s="9" t="s">
        <v>203</v>
      </c>
      <c r="C106" s="8" t="s">
        <v>227</v>
      </c>
      <c r="D106" s="102">
        <f>E106+H106</f>
        <v>520000</v>
      </c>
      <c r="E106" s="102">
        <f>400000+120000</f>
        <v>520000</v>
      </c>
      <c r="F106" s="102"/>
      <c r="G106" s="102"/>
      <c r="H106" s="102"/>
      <c r="I106" s="102">
        <f t="shared" ref="I106:I111" si="16">O106+L106</f>
        <v>10850000</v>
      </c>
      <c r="J106" s="102">
        <v>10850000</v>
      </c>
      <c r="K106" s="105">
        <v>10850000</v>
      </c>
      <c r="L106" s="102"/>
      <c r="M106" s="102"/>
      <c r="N106" s="102"/>
      <c r="O106" s="102">
        <v>10850000</v>
      </c>
      <c r="P106" s="102">
        <f>D106+I106</f>
        <v>11370000</v>
      </c>
    </row>
    <row r="107" spans="1:19" ht="49.5" customHeight="1">
      <c r="A107" s="9" t="s">
        <v>171</v>
      </c>
      <c r="B107" s="9" t="s">
        <v>49</v>
      </c>
      <c r="C107" s="25" t="s">
        <v>170</v>
      </c>
      <c r="D107" s="102">
        <f>E107+H107</f>
        <v>2500000</v>
      </c>
      <c r="E107" s="102">
        <v>2500000</v>
      </c>
      <c r="F107" s="102"/>
      <c r="G107" s="102"/>
      <c r="H107" s="102"/>
      <c r="I107" s="102">
        <f t="shared" si="16"/>
        <v>3500000</v>
      </c>
      <c r="J107" s="102">
        <v>3500000</v>
      </c>
      <c r="K107" s="105">
        <v>3500000</v>
      </c>
      <c r="L107" s="102"/>
      <c r="M107" s="102"/>
      <c r="N107" s="102"/>
      <c r="O107" s="102">
        <v>3500000</v>
      </c>
      <c r="P107" s="102">
        <f t="shared" ref="P107:P113" si="17">D107+I107</f>
        <v>6000000</v>
      </c>
    </row>
    <row r="108" spans="1:19" ht="32.25">
      <c r="A108" s="9" t="s">
        <v>168</v>
      </c>
      <c r="B108" s="9" t="s">
        <v>49</v>
      </c>
      <c r="C108" s="8" t="s">
        <v>169</v>
      </c>
      <c r="D108" s="102">
        <f>E108+H108</f>
        <v>590000</v>
      </c>
      <c r="E108" s="102">
        <v>590000</v>
      </c>
      <c r="F108" s="102"/>
      <c r="G108" s="102"/>
      <c r="H108" s="102"/>
      <c r="I108" s="102">
        <f t="shared" si="16"/>
        <v>2000000</v>
      </c>
      <c r="J108" s="102">
        <v>2000000</v>
      </c>
      <c r="K108" s="105">
        <v>2000000</v>
      </c>
      <c r="L108" s="102"/>
      <c r="M108" s="102"/>
      <c r="N108" s="102"/>
      <c r="O108" s="102">
        <v>2000000</v>
      </c>
      <c r="P108" s="102">
        <f t="shared" si="17"/>
        <v>2590000</v>
      </c>
    </row>
    <row r="109" spans="1:19" ht="32.25">
      <c r="A109" s="9" t="s">
        <v>201</v>
      </c>
      <c r="B109" s="9" t="s">
        <v>49</v>
      </c>
      <c r="C109" s="8" t="s">
        <v>202</v>
      </c>
      <c r="D109" s="102">
        <f>E109+H109</f>
        <v>190000</v>
      </c>
      <c r="E109" s="102">
        <f>400000-210000</f>
        <v>190000</v>
      </c>
      <c r="F109" s="102"/>
      <c r="G109" s="102"/>
      <c r="H109" s="102"/>
      <c r="I109" s="102">
        <f t="shared" si="16"/>
        <v>10000000</v>
      </c>
      <c r="J109" s="102">
        <v>10000000</v>
      </c>
      <c r="K109" s="105">
        <v>10000000</v>
      </c>
      <c r="L109" s="102"/>
      <c r="M109" s="102"/>
      <c r="N109" s="102"/>
      <c r="O109" s="102">
        <v>10000000</v>
      </c>
      <c r="P109" s="102">
        <f t="shared" si="17"/>
        <v>10190000</v>
      </c>
    </row>
    <row r="110" spans="1:19" s="28" customFormat="1" ht="48">
      <c r="A110" s="9" t="s">
        <v>265</v>
      </c>
      <c r="B110" s="9" t="s">
        <v>49</v>
      </c>
      <c r="C110" s="8" t="s">
        <v>266</v>
      </c>
      <c r="D110" s="102"/>
      <c r="E110" s="102"/>
      <c r="F110" s="102"/>
      <c r="G110" s="102"/>
      <c r="H110" s="102"/>
      <c r="I110" s="102">
        <f t="shared" si="16"/>
        <v>3175600</v>
      </c>
      <c r="J110" s="102">
        <v>3175600</v>
      </c>
      <c r="K110" s="105">
        <v>3175600</v>
      </c>
      <c r="L110" s="102"/>
      <c r="M110" s="102"/>
      <c r="N110" s="102"/>
      <c r="O110" s="102">
        <v>3175600</v>
      </c>
      <c r="P110" s="102">
        <f t="shared" si="17"/>
        <v>3175600</v>
      </c>
      <c r="R110" s="23"/>
      <c r="S110" s="23"/>
    </row>
    <row r="111" spans="1:19" s="28" customFormat="1" ht="46.5" customHeight="1">
      <c r="A111" s="9" t="s">
        <v>267</v>
      </c>
      <c r="B111" s="9" t="s">
        <v>49</v>
      </c>
      <c r="C111" s="8" t="s">
        <v>268</v>
      </c>
      <c r="D111" s="102">
        <f>E111+H111</f>
        <v>200000</v>
      </c>
      <c r="E111" s="102">
        <v>200000</v>
      </c>
      <c r="F111" s="102"/>
      <c r="G111" s="102"/>
      <c r="H111" s="102"/>
      <c r="I111" s="102">
        <f t="shared" si="16"/>
        <v>1340000</v>
      </c>
      <c r="J111" s="102">
        <v>1340000</v>
      </c>
      <c r="K111" s="105">
        <v>1340000</v>
      </c>
      <c r="L111" s="102"/>
      <c r="M111" s="102"/>
      <c r="N111" s="102"/>
      <c r="O111" s="102">
        <v>1340000</v>
      </c>
      <c r="P111" s="102">
        <f t="shared" si="17"/>
        <v>1540000</v>
      </c>
      <c r="R111" s="23"/>
      <c r="S111" s="23"/>
    </row>
    <row r="112" spans="1:19" s="44" customFormat="1" ht="18.75">
      <c r="A112" s="30" t="s">
        <v>48</v>
      </c>
      <c r="B112" s="30" t="s">
        <v>49</v>
      </c>
      <c r="C112" s="79" t="s">
        <v>159</v>
      </c>
      <c r="D112" s="106">
        <f>E112+H112</f>
        <v>49453100</v>
      </c>
      <c r="E112" s="106">
        <f>1937000+504700+2016000+44785400+210000</f>
        <v>49453100</v>
      </c>
      <c r="F112" s="106"/>
      <c r="G112" s="106"/>
      <c r="H112" s="106"/>
      <c r="I112" s="106">
        <f>O112</f>
        <v>17240000</v>
      </c>
      <c r="J112" s="106">
        <v>17240000</v>
      </c>
      <c r="K112" s="126">
        <v>15440000</v>
      </c>
      <c r="L112" s="106"/>
      <c r="M112" s="106"/>
      <c r="N112" s="106"/>
      <c r="O112" s="106">
        <v>17240000</v>
      </c>
      <c r="P112" s="94">
        <f t="shared" si="17"/>
        <v>66693100</v>
      </c>
      <c r="R112" s="70"/>
      <c r="S112" s="70"/>
    </row>
    <row r="113" spans="1:19" s="12" customFormat="1" ht="32.25">
      <c r="A113" s="15" t="s">
        <v>212</v>
      </c>
      <c r="B113" s="15" t="s">
        <v>203</v>
      </c>
      <c r="C113" s="27" t="s">
        <v>213</v>
      </c>
      <c r="D113" s="94"/>
      <c r="E113" s="94"/>
      <c r="F113" s="94"/>
      <c r="G113" s="94"/>
      <c r="H113" s="94"/>
      <c r="I113" s="94">
        <f>L113+O113</f>
        <v>200000</v>
      </c>
      <c r="J113" s="94">
        <v>200000</v>
      </c>
      <c r="K113" s="95">
        <v>200000</v>
      </c>
      <c r="L113" s="94"/>
      <c r="M113" s="94"/>
      <c r="N113" s="94"/>
      <c r="O113" s="94">
        <v>200000</v>
      </c>
      <c r="P113" s="94">
        <f t="shared" si="17"/>
        <v>200000</v>
      </c>
      <c r="R113" s="128"/>
      <c r="S113" s="128"/>
    </row>
    <row r="114" spans="1:19" s="14" customFormat="1" ht="25.5" customHeight="1">
      <c r="A114" s="15" t="s">
        <v>155</v>
      </c>
      <c r="B114" s="10"/>
      <c r="C114" s="16" t="s">
        <v>156</v>
      </c>
      <c r="D114" s="94">
        <f>D115+D117+D121+D124</f>
        <v>25436200</v>
      </c>
      <c r="E114" s="94">
        <f>E115+E117+E121+E124</f>
        <v>25436200</v>
      </c>
      <c r="F114" s="94"/>
      <c r="G114" s="94"/>
      <c r="H114" s="94">
        <f>H119</f>
        <v>0</v>
      </c>
      <c r="I114" s="106">
        <f>L114+O114</f>
        <v>90324600</v>
      </c>
      <c r="J114" s="94">
        <f t="shared" ref="J114:O114" si="18">J115+J117+J121+J124</f>
        <v>90324600</v>
      </c>
      <c r="K114" s="95">
        <f t="shared" si="18"/>
        <v>55190100</v>
      </c>
      <c r="L114" s="94">
        <f t="shared" si="18"/>
        <v>0</v>
      </c>
      <c r="M114" s="94">
        <f t="shared" si="18"/>
        <v>0</v>
      </c>
      <c r="N114" s="94">
        <f t="shared" si="18"/>
        <v>0</v>
      </c>
      <c r="O114" s="94">
        <f t="shared" si="18"/>
        <v>90324600</v>
      </c>
      <c r="P114" s="106">
        <f>D114+I114</f>
        <v>115760800</v>
      </c>
      <c r="R114" s="71"/>
      <c r="S114" s="71"/>
    </row>
    <row r="115" spans="1:19" s="17" customFormat="1" ht="30">
      <c r="A115" s="15" t="s">
        <v>153</v>
      </c>
      <c r="B115" s="15"/>
      <c r="C115" s="39" t="s">
        <v>258</v>
      </c>
      <c r="D115" s="106">
        <f>D116</f>
        <v>300000</v>
      </c>
      <c r="E115" s="106">
        <f>E116</f>
        <v>300000</v>
      </c>
      <c r="F115" s="106"/>
      <c r="G115" s="106"/>
      <c r="H115" s="106"/>
      <c r="I115" s="106">
        <f>L115+O115</f>
        <v>100000</v>
      </c>
      <c r="J115" s="106">
        <f t="shared" ref="J115:O115" si="19">J116</f>
        <v>100000</v>
      </c>
      <c r="K115" s="126">
        <f t="shared" si="19"/>
        <v>100000</v>
      </c>
      <c r="L115" s="106">
        <f t="shared" si="19"/>
        <v>0</v>
      </c>
      <c r="M115" s="106">
        <f t="shared" si="19"/>
        <v>0</v>
      </c>
      <c r="N115" s="106">
        <f t="shared" si="19"/>
        <v>0</v>
      </c>
      <c r="O115" s="106">
        <f t="shared" si="19"/>
        <v>100000</v>
      </c>
      <c r="P115" s="106">
        <f>D115+I115</f>
        <v>400000</v>
      </c>
      <c r="R115" s="59"/>
      <c r="S115" s="59"/>
    </row>
    <row r="116" spans="1:19" s="7" customFormat="1" ht="18.75">
      <c r="A116" s="10" t="s">
        <v>175</v>
      </c>
      <c r="B116" s="10" t="s">
        <v>122</v>
      </c>
      <c r="C116" s="35" t="s">
        <v>154</v>
      </c>
      <c r="D116" s="109">
        <f>E116+H116</f>
        <v>300000</v>
      </c>
      <c r="E116" s="109">
        <v>300000</v>
      </c>
      <c r="F116" s="109"/>
      <c r="G116" s="109"/>
      <c r="H116" s="109"/>
      <c r="I116" s="109">
        <f>L116+O116</f>
        <v>100000</v>
      </c>
      <c r="J116" s="109">
        <v>100000</v>
      </c>
      <c r="K116" s="110">
        <v>100000</v>
      </c>
      <c r="L116" s="109"/>
      <c r="M116" s="109"/>
      <c r="N116" s="109"/>
      <c r="O116" s="109">
        <v>100000</v>
      </c>
      <c r="P116" s="109">
        <f>D116+I116</f>
        <v>400000</v>
      </c>
      <c r="R116" s="60"/>
      <c r="S116" s="60"/>
    </row>
    <row r="117" spans="1:19" ht="24.75" customHeight="1">
      <c r="A117" s="15" t="s">
        <v>123</v>
      </c>
      <c r="B117" s="10"/>
      <c r="C117" s="16" t="s">
        <v>157</v>
      </c>
      <c r="D117" s="94">
        <f>D118+D119+D120</f>
        <v>400000</v>
      </c>
      <c r="E117" s="94">
        <f>E118+E119+E120</f>
        <v>400000</v>
      </c>
      <c r="F117" s="94"/>
      <c r="G117" s="94"/>
      <c r="H117" s="94"/>
      <c r="I117" s="94">
        <f>L117+O117</f>
        <v>72034600</v>
      </c>
      <c r="J117" s="94">
        <f>J118+J119+J120</f>
        <v>72034600</v>
      </c>
      <c r="K117" s="95">
        <f>K118+K119+K120</f>
        <v>36900100</v>
      </c>
      <c r="L117" s="94">
        <f>L120</f>
        <v>0</v>
      </c>
      <c r="M117" s="94">
        <f>M120</f>
        <v>0</v>
      </c>
      <c r="N117" s="94">
        <f>N120</f>
        <v>0</v>
      </c>
      <c r="O117" s="94">
        <f>O118+O119+O120</f>
        <v>72034600</v>
      </c>
      <c r="P117" s="94">
        <f>D117+I117</f>
        <v>72434600</v>
      </c>
    </row>
    <row r="118" spans="1:19" ht="30.75" hidden="1">
      <c r="A118" s="10" t="s">
        <v>124</v>
      </c>
      <c r="B118" s="10" t="s">
        <v>62</v>
      </c>
      <c r="C118" s="24" t="s">
        <v>158</v>
      </c>
      <c r="D118" s="96"/>
      <c r="E118" s="96"/>
      <c r="F118" s="96"/>
      <c r="G118" s="96"/>
      <c r="H118" s="96"/>
      <c r="I118" s="96">
        <f>O118</f>
        <v>0</v>
      </c>
      <c r="J118" s="96"/>
      <c r="K118" s="97"/>
      <c r="L118" s="96"/>
      <c r="M118" s="96"/>
      <c r="N118" s="96"/>
      <c r="O118" s="96"/>
      <c r="P118" s="96">
        <f>D118+I118</f>
        <v>0</v>
      </c>
    </row>
    <row r="119" spans="1:19" ht="32.25">
      <c r="A119" s="10" t="s">
        <v>211</v>
      </c>
      <c r="B119" s="10" t="s">
        <v>62</v>
      </c>
      <c r="C119" s="21" t="s">
        <v>257</v>
      </c>
      <c r="D119" s="96">
        <f>E119+H119</f>
        <v>400000</v>
      </c>
      <c r="E119" s="96">
        <v>400000</v>
      </c>
      <c r="F119" s="96"/>
      <c r="G119" s="96"/>
      <c r="H119" s="96"/>
      <c r="I119" s="96">
        <f>O119</f>
        <v>0</v>
      </c>
      <c r="J119" s="96"/>
      <c r="K119" s="97"/>
      <c r="L119" s="96"/>
      <c r="M119" s="96"/>
      <c r="N119" s="96"/>
      <c r="O119" s="96"/>
      <c r="P119" s="96">
        <f t="shared" ref="P119:P147" si="20">D119+I119</f>
        <v>400000</v>
      </c>
    </row>
    <row r="120" spans="1:19" s="13" customFormat="1" ht="32.25">
      <c r="A120" s="10" t="s">
        <v>234</v>
      </c>
      <c r="B120" s="10" t="s">
        <v>61</v>
      </c>
      <c r="C120" s="20" t="s">
        <v>176</v>
      </c>
      <c r="D120" s="109"/>
      <c r="E120" s="109"/>
      <c r="F120" s="109"/>
      <c r="G120" s="109"/>
      <c r="H120" s="109"/>
      <c r="I120" s="96">
        <f>O120</f>
        <v>72034600</v>
      </c>
      <c r="J120" s="96">
        <f>1500000+7000000+55545900+1625000+6363700</f>
        <v>72034600</v>
      </c>
      <c r="K120" s="97">
        <f>1500000+500000+26911400+1625000+6363700</f>
        <v>36900100</v>
      </c>
      <c r="L120" s="109"/>
      <c r="M120" s="109"/>
      <c r="N120" s="109"/>
      <c r="O120" s="96">
        <f>1500000+7000000+55545900+1625000+6363700</f>
        <v>72034600</v>
      </c>
      <c r="P120" s="96">
        <f t="shared" si="20"/>
        <v>72034600</v>
      </c>
      <c r="R120" s="61"/>
      <c r="S120" s="61"/>
    </row>
    <row r="121" spans="1:19" ht="30">
      <c r="A121" s="15" t="s">
        <v>66</v>
      </c>
      <c r="B121" s="10"/>
      <c r="C121" s="16" t="s">
        <v>147</v>
      </c>
      <c r="D121" s="94">
        <f>D122</f>
        <v>16500000</v>
      </c>
      <c r="E121" s="94">
        <f>E122</f>
        <v>16500000</v>
      </c>
      <c r="F121" s="94"/>
      <c r="G121" s="94"/>
      <c r="H121" s="94"/>
      <c r="I121" s="94">
        <f t="shared" ref="I121:O121" si="21">I123</f>
        <v>15590000</v>
      </c>
      <c r="J121" s="94">
        <f>J123</f>
        <v>15590000</v>
      </c>
      <c r="K121" s="95">
        <f>K123</f>
        <v>15590000</v>
      </c>
      <c r="L121" s="94">
        <f t="shared" si="21"/>
        <v>0</v>
      </c>
      <c r="M121" s="94">
        <f t="shared" si="21"/>
        <v>0</v>
      </c>
      <c r="N121" s="94">
        <f t="shared" si="21"/>
        <v>0</v>
      </c>
      <c r="O121" s="94">
        <f t="shared" si="21"/>
        <v>15590000</v>
      </c>
      <c r="P121" s="94">
        <f t="shared" si="20"/>
        <v>32090000</v>
      </c>
    </row>
    <row r="122" spans="1:19" ht="30.75">
      <c r="A122" s="10" t="s">
        <v>148</v>
      </c>
      <c r="B122" s="10"/>
      <c r="C122" s="24" t="s">
        <v>149</v>
      </c>
      <c r="D122" s="96">
        <f>D123</f>
        <v>16500000</v>
      </c>
      <c r="E122" s="96">
        <f>E123</f>
        <v>16500000</v>
      </c>
      <c r="F122" s="96"/>
      <c r="G122" s="96"/>
      <c r="H122" s="96"/>
      <c r="I122" s="96">
        <f>L122+O122</f>
        <v>15590000</v>
      </c>
      <c r="J122" s="96">
        <f t="shared" ref="J122:O122" si="22">J123</f>
        <v>15590000</v>
      </c>
      <c r="K122" s="97">
        <f t="shared" si="22"/>
        <v>15590000</v>
      </c>
      <c r="L122" s="96">
        <f t="shared" si="22"/>
        <v>0</v>
      </c>
      <c r="M122" s="96">
        <f t="shared" si="22"/>
        <v>0</v>
      </c>
      <c r="N122" s="96">
        <f t="shared" si="22"/>
        <v>0</v>
      </c>
      <c r="O122" s="96">
        <f t="shared" si="22"/>
        <v>15590000</v>
      </c>
      <c r="P122" s="107">
        <f t="shared" si="20"/>
        <v>32090000</v>
      </c>
    </row>
    <row r="123" spans="1:19" s="13" customFormat="1" ht="48">
      <c r="A123" s="9" t="s">
        <v>151</v>
      </c>
      <c r="B123" s="9" t="s">
        <v>65</v>
      </c>
      <c r="C123" s="8" t="s">
        <v>150</v>
      </c>
      <c r="D123" s="109">
        <f>E123+H123</f>
        <v>16500000</v>
      </c>
      <c r="E123" s="109">
        <v>16500000</v>
      </c>
      <c r="F123" s="109"/>
      <c r="G123" s="109"/>
      <c r="H123" s="109"/>
      <c r="I123" s="109">
        <f>L123+O123</f>
        <v>15590000</v>
      </c>
      <c r="J123" s="109">
        <v>15590000</v>
      </c>
      <c r="K123" s="110">
        <v>15590000</v>
      </c>
      <c r="L123" s="109"/>
      <c r="M123" s="109"/>
      <c r="N123" s="109"/>
      <c r="O123" s="109">
        <v>15590000</v>
      </c>
      <c r="P123" s="109">
        <f t="shared" si="20"/>
        <v>32090000</v>
      </c>
      <c r="R123" s="61"/>
      <c r="S123" s="61"/>
    </row>
    <row r="124" spans="1:19" ht="32.25">
      <c r="A124" s="15" t="s">
        <v>177</v>
      </c>
      <c r="B124" s="9"/>
      <c r="C124" s="27" t="s">
        <v>178</v>
      </c>
      <c r="D124" s="94">
        <f t="shared" ref="D124:O124" si="23">D125+D126+D127+D128+D129+D130+D131</f>
        <v>8236200</v>
      </c>
      <c r="E124" s="94">
        <f t="shared" si="23"/>
        <v>8236200</v>
      </c>
      <c r="F124" s="94">
        <f t="shared" si="23"/>
        <v>0</v>
      </c>
      <c r="G124" s="94">
        <f t="shared" si="23"/>
        <v>0</v>
      </c>
      <c r="H124" s="94">
        <f t="shared" si="23"/>
        <v>0</v>
      </c>
      <c r="I124" s="94">
        <f t="shared" si="23"/>
        <v>2600000</v>
      </c>
      <c r="J124" s="94">
        <f t="shared" si="23"/>
        <v>2600000</v>
      </c>
      <c r="K124" s="95">
        <f t="shared" si="23"/>
        <v>2600000</v>
      </c>
      <c r="L124" s="94">
        <f t="shared" si="23"/>
        <v>0</v>
      </c>
      <c r="M124" s="94">
        <f t="shared" si="23"/>
        <v>0</v>
      </c>
      <c r="N124" s="94">
        <f t="shared" si="23"/>
        <v>0</v>
      </c>
      <c r="O124" s="94">
        <f t="shared" si="23"/>
        <v>2600000</v>
      </c>
      <c r="P124" s="106">
        <f t="shared" si="20"/>
        <v>10836200</v>
      </c>
    </row>
    <row r="125" spans="1:19" ht="32.25">
      <c r="A125" s="10" t="s">
        <v>194</v>
      </c>
      <c r="B125" s="10" t="s">
        <v>195</v>
      </c>
      <c r="C125" s="20" t="s">
        <v>196</v>
      </c>
      <c r="D125" s="96">
        <f>E125+H125</f>
        <v>300000</v>
      </c>
      <c r="E125" s="96">
        <f>300000+500000-500000</f>
        <v>300000</v>
      </c>
      <c r="F125" s="96"/>
      <c r="G125" s="96"/>
      <c r="H125" s="96"/>
      <c r="I125" s="96"/>
      <c r="J125" s="96"/>
      <c r="K125" s="97"/>
      <c r="L125" s="96"/>
      <c r="M125" s="96"/>
      <c r="N125" s="96"/>
      <c r="O125" s="96"/>
      <c r="P125" s="96">
        <f t="shared" si="20"/>
        <v>300000</v>
      </c>
    </row>
    <row r="126" spans="1:19" ht="18.75">
      <c r="A126" s="10" t="s">
        <v>179</v>
      </c>
      <c r="B126" s="10" t="s">
        <v>67</v>
      </c>
      <c r="C126" s="6" t="s">
        <v>68</v>
      </c>
      <c r="D126" s="96">
        <f>E126+H126</f>
        <v>600000</v>
      </c>
      <c r="E126" s="96">
        <f>300000+300000</f>
        <v>600000</v>
      </c>
      <c r="F126" s="96"/>
      <c r="G126" s="96"/>
      <c r="H126" s="96"/>
      <c r="I126" s="96">
        <f>O126+L126</f>
        <v>1200000</v>
      </c>
      <c r="J126" s="96">
        <v>1200000</v>
      </c>
      <c r="K126" s="97">
        <v>1200000</v>
      </c>
      <c r="L126" s="96"/>
      <c r="M126" s="96"/>
      <c r="N126" s="96"/>
      <c r="O126" s="96">
        <v>1200000</v>
      </c>
      <c r="P126" s="96">
        <f t="shared" si="20"/>
        <v>1800000</v>
      </c>
    </row>
    <row r="127" spans="1:19" ht="32.25">
      <c r="A127" s="10" t="s">
        <v>185</v>
      </c>
      <c r="B127" s="10" t="s">
        <v>61</v>
      </c>
      <c r="C127" s="6" t="s">
        <v>186</v>
      </c>
      <c r="D127" s="96"/>
      <c r="E127" s="96"/>
      <c r="F127" s="96"/>
      <c r="G127" s="96"/>
      <c r="H127" s="96"/>
      <c r="I127" s="96">
        <f>O127+L127</f>
        <v>300000</v>
      </c>
      <c r="J127" s="96">
        <v>300000</v>
      </c>
      <c r="K127" s="97">
        <v>300000</v>
      </c>
      <c r="L127" s="96"/>
      <c r="M127" s="96"/>
      <c r="N127" s="96"/>
      <c r="O127" s="96">
        <v>300000</v>
      </c>
      <c r="P127" s="96">
        <f t="shared" si="20"/>
        <v>300000</v>
      </c>
    </row>
    <row r="128" spans="1:19" ht="79.5">
      <c r="A128" s="10" t="s">
        <v>313</v>
      </c>
      <c r="B128" s="10" t="s">
        <v>61</v>
      </c>
      <c r="C128" s="6" t="s">
        <v>314</v>
      </c>
      <c r="D128" s="96"/>
      <c r="E128" s="96"/>
      <c r="F128" s="96"/>
      <c r="G128" s="96"/>
      <c r="H128" s="96"/>
      <c r="I128" s="96">
        <f>O128+L128</f>
        <v>300000</v>
      </c>
      <c r="J128" s="96">
        <v>300000</v>
      </c>
      <c r="K128" s="97">
        <v>300000</v>
      </c>
      <c r="L128" s="96"/>
      <c r="M128" s="96"/>
      <c r="N128" s="96"/>
      <c r="O128" s="96">
        <v>300000</v>
      </c>
      <c r="P128" s="96">
        <f t="shared" si="20"/>
        <v>300000</v>
      </c>
    </row>
    <row r="129" spans="1:19" ht="32.25">
      <c r="A129" s="10" t="s">
        <v>180</v>
      </c>
      <c r="B129" s="10" t="s">
        <v>61</v>
      </c>
      <c r="C129" s="21" t="s">
        <v>181</v>
      </c>
      <c r="D129" s="96"/>
      <c r="E129" s="96"/>
      <c r="F129" s="96"/>
      <c r="G129" s="96"/>
      <c r="H129" s="96"/>
      <c r="I129" s="96">
        <f>O129+L129</f>
        <v>100000</v>
      </c>
      <c r="J129" s="96">
        <v>100000</v>
      </c>
      <c r="K129" s="97">
        <v>100000</v>
      </c>
      <c r="L129" s="96"/>
      <c r="M129" s="96"/>
      <c r="N129" s="96"/>
      <c r="O129" s="96">
        <v>100000</v>
      </c>
      <c r="P129" s="96">
        <f>D129+I129</f>
        <v>100000</v>
      </c>
    </row>
    <row r="130" spans="1:19" ht="36" customHeight="1">
      <c r="A130" s="10" t="s">
        <v>192</v>
      </c>
      <c r="B130" s="10" t="s">
        <v>61</v>
      </c>
      <c r="C130" s="21" t="s">
        <v>193</v>
      </c>
      <c r="D130" s="96">
        <f>E130+H130</f>
        <v>36200</v>
      </c>
      <c r="E130" s="96">
        <v>36200</v>
      </c>
      <c r="F130" s="96"/>
      <c r="G130" s="96"/>
      <c r="H130" s="96"/>
      <c r="I130" s="96"/>
      <c r="J130" s="96"/>
      <c r="K130" s="97"/>
      <c r="L130" s="96"/>
      <c r="M130" s="96"/>
      <c r="N130" s="96"/>
      <c r="O130" s="96"/>
      <c r="P130" s="96">
        <f t="shared" si="20"/>
        <v>36200</v>
      </c>
    </row>
    <row r="131" spans="1:19" ht="26.25" customHeight="1">
      <c r="A131" s="10" t="s">
        <v>204</v>
      </c>
      <c r="B131" s="10"/>
      <c r="C131" s="21" t="s">
        <v>205</v>
      </c>
      <c r="D131" s="96">
        <f>D132+D133</f>
        <v>7300000</v>
      </c>
      <c r="E131" s="96">
        <f>E132+E133</f>
        <v>7300000</v>
      </c>
      <c r="F131" s="96"/>
      <c r="G131" s="96"/>
      <c r="H131" s="96"/>
      <c r="I131" s="96">
        <f t="shared" ref="I131:O131" si="24">I132+I133</f>
        <v>700000</v>
      </c>
      <c r="J131" s="96">
        <f>J132+J133</f>
        <v>700000</v>
      </c>
      <c r="K131" s="97">
        <f>K132+K133</f>
        <v>700000</v>
      </c>
      <c r="L131" s="96">
        <f t="shared" si="24"/>
        <v>0</v>
      </c>
      <c r="M131" s="96">
        <f t="shared" si="24"/>
        <v>0</v>
      </c>
      <c r="N131" s="96">
        <f t="shared" si="24"/>
        <v>0</v>
      </c>
      <c r="O131" s="96">
        <f t="shared" si="24"/>
        <v>700000</v>
      </c>
      <c r="P131" s="107">
        <f t="shared" si="20"/>
        <v>8000000</v>
      </c>
    </row>
    <row r="132" spans="1:19" s="49" customFormat="1" ht="126.75" hidden="1">
      <c r="A132" s="9" t="s">
        <v>272</v>
      </c>
      <c r="B132" s="9" t="s">
        <v>61</v>
      </c>
      <c r="C132" s="29" t="s">
        <v>273</v>
      </c>
      <c r="D132" s="102"/>
      <c r="E132" s="102"/>
      <c r="F132" s="102"/>
      <c r="G132" s="102"/>
      <c r="H132" s="102"/>
      <c r="I132" s="102">
        <f>L132+O132</f>
        <v>0</v>
      </c>
      <c r="J132" s="102"/>
      <c r="K132" s="105"/>
      <c r="L132" s="102"/>
      <c r="M132" s="102"/>
      <c r="N132" s="102"/>
      <c r="O132" s="102"/>
      <c r="P132" s="109">
        <f t="shared" si="20"/>
        <v>0</v>
      </c>
      <c r="R132" s="114"/>
      <c r="S132" s="114"/>
    </row>
    <row r="133" spans="1:19" s="51" customFormat="1" ht="36" customHeight="1">
      <c r="A133" s="50" t="s">
        <v>235</v>
      </c>
      <c r="B133" s="50" t="s">
        <v>61</v>
      </c>
      <c r="C133" s="25" t="s">
        <v>259</v>
      </c>
      <c r="D133" s="99">
        <f>E133+H133</f>
        <v>7300000</v>
      </c>
      <c r="E133" s="99">
        <f>4600000+5000000-2300000</f>
        <v>7300000</v>
      </c>
      <c r="F133" s="99"/>
      <c r="G133" s="99"/>
      <c r="H133" s="99"/>
      <c r="I133" s="99">
        <f>L133+O133</f>
        <v>700000</v>
      </c>
      <c r="J133" s="99">
        <f>200000+500000</f>
        <v>700000</v>
      </c>
      <c r="K133" s="132">
        <f>200000+500000</f>
        <v>700000</v>
      </c>
      <c r="L133" s="99">
        <v>0</v>
      </c>
      <c r="M133" s="99"/>
      <c r="N133" s="99"/>
      <c r="O133" s="99">
        <f>200000+500000</f>
        <v>700000</v>
      </c>
      <c r="P133" s="99">
        <f t="shared" si="20"/>
        <v>8000000</v>
      </c>
      <c r="R133" s="133"/>
      <c r="S133" s="133"/>
    </row>
    <row r="134" spans="1:19" s="44" customFormat="1" ht="18.75">
      <c r="A134" s="30" t="s">
        <v>72</v>
      </c>
      <c r="B134" s="30"/>
      <c r="C134" s="18" t="s">
        <v>152</v>
      </c>
      <c r="D134" s="94">
        <f>D135+D143+D139+D137</f>
        <v>5410400</v>
      </c>
      <c r="E134" s="94">
        <f>E135+I130+E137+E139</f>
        <v>410400</v>
      </c>
      <c r="F134" s="94"/>
      <c r="G134" s="94"/>
      <c r="H134" s="94"/>
      <c r="I134" s="94">
        <f>L134+O134</f>
        <v>6303000</v>
      </c>
      <c r="J134" s="94">
        <f>J135+J143+J139</f>
        <v>5000000</v>
      </c>
      <c r="K134" s="95">
        <f>K135+K143+K139</f>
        <v>5000000</v>
      </c>
      <c r="L134" s="94">
        <f>L143+L139</f>
        <v>1303000</v>
      </c>
      <c r="M134" s="94">
        <f>M143+M139</f>
        <v>0</v>
      </c>
      <c r="N134" s="94">
        <f>N143+N139</f>
        <v>0</v>
      </c>
      <c r="O134" s="94">
        <f>O135+O143+O139</f>
        <v>5000000</v>
      </c>
      <c r="P134" s="94">
        <f>I134+D134</f>
        <v>11713400</v>
      </c>
      <c r="R134" s="70"/>
      <c r="S134" s="70"/>
    </row>
    <row r="135" spans="1:19" s="44" customFormat="1" ht="48">
      <c r="A135" s="30" t="s">
        <v>223</v>
      </c>
      <c r="B135" s="30"/>
      <c r="C135" s="18" t="s">
        <v>222</v>
      </c>
      <c r="D135" s="94">
        <f>D136</f>
        <v>254300</v>
      </c>
      <c r="E135" s="94">
        <f>E136</f>
        <v>254300</v>
      </c>
      <c r="F135" s="94"/>
      <c r="G135" s="94"/>
      <c r="H135" s="94"/>
      <c r="I135" s="94">
        <f>I136</f>
        <v>0</v>
      </c>
      <c r="J135" s="94">
        <f>J136</f>
        <v>0</v>
      </c>
      <c r="K135" s="95">
        <f>K136</f>
        <v>0</v>
      </c>
      <c r="L135" s="94"/>
      <c r="M135" s="94"/>
      <c r="N135" s="94"/>
      <c r="O135" s="94">
        <f>O136</f>
        <v>0</v>
      </c>
      <c r="P135" s="94">
        <f>I135+D135</f>
        <v>254300</v>
      </c>
      <c r="R135" s="70"/>
      <c r="S135" s="70"/>
    </row>
    <row r="136" spans="1:19" s="22" customFormat="1" ht="48">
      <c r="A136" s="31" t="s">
        <v>224</v>
      </c>
      <c r="B136" s="31" t="s">
        <v>225</v>
      </c>
      <c r="C136" s="6" t="s">
        <v>236</v>
      </c>
      <c r="D136" s="96">
        <f>E136+H136</f>
        <v>254300</v>
      </c>
      <c r="E136" s="96">
        <f>254300</f>
        <v>254300</v>
      </c>
      <c r="F136" s="96"/>
      <c r="G136" s="96"/>
      <c r="H136" s="96"/>
      <c r="I136" s="96">
        <f>L136+O136</f>
        <v>0</v>
      </c>
      <c r="J136" s="96"/>
      <c r="K136" s="97"/>
      <c r="L136" s="96"/>
      <c r="M136" s="96"/>
      <c r="N136" s="96"/>
      <c r="O136" s="96"/>
      <c r="P136" s="96">
        <f>I136+D136</f>
        <v>254300</v>
      </c>
      <c r="R136" s="23"/>
      <c r="S136" s="23"/>
    </row>
    <row r="137" spans="1:19" s="44" customFormat="1" ht="18.75">
      <c r="A137" s="30" t="s">
        <v>315</v>
      </c>
      <c r="B137" s="30"/>
      <c r="C137" s="18" t="s">
        <v>316</v>
      </c>
      <c r="D137" s="94">
        <f>D138</f>
        <v>156100</v>
      </c>
      <c r="E137" s="94">
        <f>E138</f>
        <v>156100</v>
      </c>
      <c r="F137" s="94"/>
      <c r="G137" s="94"/>
      <c r="H137" s="94"/>
      <c r="I137" s="94"/>
      <c r="J137" s="94"/>
      <c r="K137" s="95"/>
      <c r="L137" s="94"/>
      <c r="M137" s="94"/>
      <c r="N137" s="94"/>
      <c r="O137" s="94"/>
      <c r="P137" s="94">
        <f>D137+I137</f>
        <v>156100</v>
      </c>
      <c r="R137" s="70"/>
      <c r="S137" s="70"/>
    </row>
    <row r="138" spans="1:19" s="22" customFormat="1" ht="32.25">
      <c r="A138" s="31" t="s">
        <v>317</v>
      </c>
      <c r="B138" s="31" t="s">
        <v>318</v>
      </c>
      <c r="C138" s="6" t="s">
        <v>319</v>
      </c>
      <c r="D138" s="96">
        <f>E138+H138</f>
        <v>156100</v>
      </c>
      <c r="E138" s="96">
        <v>156100</v>
      </c>
      <c r="F138" s="96"/>
      <c r="G138" s="96"/>
      <c r="H138" s="96"/>
      <c r="I138" s="96"/>
      <c r="J138" s="96"/>
      <c r="K138" s="97"/>
      <c r="L138" s="96"/>
      <c r="M138" s="96"/>
      <c r="N138" s="96"/>
      <c r="O138" s="96"/>
      <c r="P138" s="96">
        <f>D138+I138</f>
        <v>156100</v>
      </c>
      <c r="R138" s="23"/>
      <c r="S138" s="23"/>
    </row>
    <row r="139" spans="1:19" s="22" customFormat="1" ht="32.25">
      <c r="A139" s="30" t="s">
        <v>182</v>
      </c>
      <c r="B139" s="31"/>
      <c r="C139" s="18" t="s">
        <v>183</v>
      </c>
      <c r="D139" s="106"/>
      <c r="E139" s="106"/>
      <c r="F139" s="106"/>
      <c r="G139" s="106"/>
      <c r="H139" s="106"/>
      <c r="I139" s="106">
        <f>L139+O139</f>
        <v>6303000</v>
      </c>
      <c r="J139" s="106">
        <f>J142+J140</f>
        <v>5000000</v>
      </c>
      <c r="K139" s="126">
        <f>K142+K140</f>
        <v>5000000</v>
      </c>
      <c r="L139" s="106">
        <f>L142+L140</f>
        <v>1303000</v>
      </c>
      <c r="M139" s="106"/>
      <c r="N139" s="106"/>
      <c r="O139" s="106">
        <f>O142+O140</f>
        <v>5000000</v>
      </c>
      <c r="P139" s="106">
        <f t="shared" si="20"/>
        <v>6303000</v>
      </c>
      <c r="R139" s="23"/>
      <c r="S139" s="23"/>
    </row>
    <row r="140" spans="1:19" s="22" customFormat="1" ht="32.25">
      <c r="A140" s="31" t="s">
        <v>197</v>
      </c>
      <c r="B140" s="31"/>
      <c r="C140" s="21" t="s">
        <v>198</v>
      </c>
      <c r="D140" s="107"/>
      <c r="E140" s="107"/>
      <c r="F140" s="107"/>
      <c r="G140" s="107"/>
      <c r="H140" s="107"/>
      <c r="I140" s="107">
        <f>L140+O140</f>
        <v>5000000</v>
      </c>
      <c r="J140" s="107">
        <f>J141</f>
        <v>5000000</v>
      </c>
      <c r="K140" s="108">
        <f>K141</f>
        <v>5000000</v>
      </c>
      <c r="L140" s="107"/>
      <c r="M140" s="107"/>
      <c r="N140" s="107"/>
      <c r="O140" s="107">
        <f>O141</f>
        <v>5000000</v>
      </c>
      <c r="P140" s="107">
        <f t="shared" si="20"/>
        <v>5000000</v>
      </c>
      <c r="R140" s="23"/>
      <c r="S140" s="23"/>
    </row>
    <row r="141" spans="1:19" s="13" customFormat="1" ht="32.25">
      <c r="A141" s="9" t="s">
        <v>206</v>
      </c>
      <c r="B141" s="9" t="s">
        <v>207</v>
      </c>
      <c r="C141" s="29" t="s">
        <v>208</v>
      </c>
      <c r="D141" s="109"/>
      <c r="E141" s="109"/>
      <c r="F141" s="109"/>
      <c r="G141" s="109"/>
      <c r="H141" s="109"/>
      <c r="I141" s="107">
        <f>L141+O141</f>
        <v>5000000</v>
      </c>
      <c r="J141" s="109">
        <v>5000000</v>
      </c>
      <c r="K141" s="110">
        <v>5000000</v>
      </c>
      <c r="L141" s="109"/>
      <c r="M141" s="109"/>
      <c r="N141" s="109"/>
      <c r="O141" s="109">
        <v>5000000</v>
      </c>
      <c r="P141" s="109">
        <f t="shared" si="20"/>
        <v>5000000</v>
      </c>
      <c r="R141" s="61"/>
      <c r="S141" s="61"/>
    </row>
    <row r="142" spans="1:19" ht="32.25">
      <c r="A142" s="10" t="s">
        <v>209</v>
      </c>
      <c r="B142" s="10" t="s">
        <v>70</v>
      </c>
      <c r="C142" s="6" t="s">
        <v>210</v>
      </c>
      <c r="D142" s="107"/>
      <c r="E142" s="107"/>
      <c r="F142" s="107"/>
      <c r="G142" s="107"/>
      <c r="H142" s="107"/>
      <c r="I142" s="107">
        <f>L142+O142</f>
        <v>1303000</v>
      </c>
      <c r="J142" s="107"/>
      <c r="K142" s="108"/>
      <c r="L142" s="107">
        <v>1303000</v>
      </c>
      <c r="M142" s="107"/>
      <c r="N142" s="107"/>
      <c r="O142" s="107">
        <f>320.9-299-21.9</f>
        <v>0</v>
      </c>
      <c r="P142" s="107">
        <f t="shared" si="20"/>
        <v>1303000</v>
      </c>
    </row>
    <row r="143" spans="1:19" ht="18.75">
      <c r="A143" s="15" t="s">
        <v>187</v>
      </c>
      <c r="B143" s="15" t="s">
        <v>71</v>
      </c>
      <c r="C143" s="34" t="s">
        <v>11</v>
      </c>
      <c r="D143" s="94">
        <v>5000000</v>
      </c>
      <c r="E143" s="94"/>
      <c r="F143" s="94"/>
      <c r="G143" s="94"/>
      <c r="H143" s="94"/>
      <c r="I143" s="94">
        <f>L143+O143</f>
        <v>0</v>
      </c>
      <c r="J143" s="96"/>
      <c r="K143" s="97"/>
      <c r="L143" s="96"/>
      <c r="M143" s="96"/>
      <c r="N143" s="96"/>
      <c r="O143" s="96"/>
      <c r="P143" s="94">
        <f t="shared" si="20"/>
        <v>5000000</v>
      </c>
    </row>
    <row r="144" spans="1:19" ht="18.75">
      <c r="A144" s="15" t="s">
        <v>188</v>
      </c>
      <c r="B144" s="10"/>
      <c r="C144" s="16" t="s">
        <v>189</v>
      </c>
      <c r="D144" s="94">
        <f t="shared" ref="D144:O144" si="25">D145+D147</f>
        <v>47712800</v>
      </c>
      <c r="E144" s="94">
        <f t="shared" si="25"/>
        <v>47712800</v>
      </c>
      <c r="F144" s="94">
        <f t="shared" si="25"/>
        <v>0</v>
      </c>
      <c r="G144" s="94">
        <f t="shared" si="25"/>
        <v>0</v>
      </c>
      <c r="H144" s="94">
        <f t="shared" si="25"/>
        <v>0</v>
      </c>
      <c r="I144" s="94">
        <f t="shared" si="25"/>
        <v>700000</v>
      </c>
      <c r="J144" s="94">
        <f t="shared" si="25"/>
        <v>700000</v>
      </c>
      <c r="K144" s="95">
        <f t="shared" si="25"/>
        <v>700000</v>
      </c>
      <c r="L144" s="94">
        <f t="shared" si="25"/>
        <v>0</v>
      </c>
      <c r="M144" s="94">
        <f t="shared" si="25"/>
        <v>0</v>
      </c>
      <c r="N144" s="94">
        <f t="shared" si="25"/>
        <v>0</v>
      </c>
      <c r="O144" s="94">
        <f t="shared" si="25"/>
        <v>700000</v>
      </c>
      <c r="P144" s="94">
        <f t="shared" si="20"/>
        <v>48412800</v>
      </c>
    </row>
    <row r="145" spans="1:19" ht="18.75">
      <c r="A145" s="10" t="s">
        <v>69</v>
      </c>
      <c r="B145" s="10"/>
      <c r="C145" s="24" t="s">
        <v>260</v>
      </c>
      <c r="D145" s="96">
        <f>D146</f>
        <v>47712800</v>
      </c>
      <c r="E145" s="96">
        <f>E146</f>
        <v>47712800</v>
      </c>
      <c r="F145" s="96"/>
      <c r="G145" s="96"/>
      <c r="H145" s="96"/>
      <c r="I145" s="96">
        <f>L145+O145</f>
        <v>0</v>
      </c>
      <c r="J145" s="96"/>
      <c r="K145" s="97"/>
      <c r="L145" s="96"/>
      <c r="M145" s="96"/>
      <c r="N145" s="96"/>
      <c r="O145" s="96"/>
      <c r="P145" s="96">
        <f t="shared" si="20"/>
        <v>47712800</v>
      </c>
    </row>
    <row r="146" spans="1:19" ht="26.25" customHeight="1">
      <c r="A146" s="10" t="s">
        <v>190</v>
      </c>
      <c r="B146" s="10" t="s">
        <v>16</v>
      </c>
      <c r="C146" s="52" t="s">
        <v>191</v>
      </c>
      <c r="D146" s="96">
        <f>E146+H146</f>
        <v>47712800</v>
      </c>
      <c r="E146" s="96">
        <f>47715200-2400</f>
        <v>47712800</v>
      </c>
      <c r="F146" s="96"/>
      <c r="G146" s="96"/>
      <c r="H146" s="96"/>
      <c r="I146" s="96">
        <f>L146+O146</f>
        <v>0</v>
      </c>
      <c r="J146" s="96"/>
      <c r="K146" s="97"/>
      <c r="L146" s="96"/>
      <c r="M146" s="96"/>
      <c r="N146" s="96"/>
      <c r="O146" s="96"/>
      <c r="P146" s="96">
        <f t="shared" si="20"/>
        <v>47712800</v>
      </c>
    </row>
    <row r="147" spans="1:19" s="48" customFormat="1" ht="18.75">
      <c r="A147" s="15" t="s">
        <v>274</v>
      </c>
      <c r="B147" s="15" t="s">
        <v>16</v>
      </c>
      <c r="C147" s="63" t="s">
        <v>275</v>
      </c>
      <c r="D147" s="94"/>
      <c r="E147" s="94"/>
      <c r="F147" s="94"/>
      <c r="G147" s="94"/>
      <c r="H147" s="94"/>
      <c r="I147" s="94">
        <f>O147</f>
        <v>700000</v>
      </c>
      <c r="J147" s="94">
        <v>700000</v>
      </c>
      <c r="K147" s="95">
        <v>700000</v>
      </c>
      <c r="L147" s="94"/>
      <c r="M147" s="94"/>
      <c r="N147" s="94"/>
      <c r="O147" s="94">
        <v>700000</v>
      </c>
      <c r="P147" s="94">
        <f t="shared" si="20"/>
        <v>700000</v>
      </c>
      <c r="R147" s="70"/>
      <c r="S147" s="70"/>
    </row>
    <row r="148" spans="1:19" ht="26.25" customHeight="1">
      <c r="A148" s="10"/>
      <c r="B148" s="10"/>
      <c r="C148" s="16" t="s">
        <v>4</v>
      </c>
      <c r="D148" s="94">
        <f>D13+D18+D35+D44+D89+D96+D104+D114+D134+D144</f>
        <v>761371853</v>
      </c>
      <c r="E148" s="94">
        <f>E13+E18+E35+E44+E89+E96+E104+E114+E134+E144</f>
        <v>756371853</v>
      </c>
      <c r="F148" s="94">
        <f>F13+F18+F35+F44+F89+F96+F104+F114+F134+F144</f>
        <v>289593700</v>
      </c>
      <c r="G148" s="94">
        <f>G13+G18+G35+G44+G89+G96+G104+G114+G134+G144</f>
        <v>29439200</v>
      </c>
      <c r="H148" s="94">
        <f>H13+H18+H35+H44+H89+H96+H104+H114+H134+H144</f>
        <v>0</v>
      </c>
      <c r="I148" s="94">
        <f>L148+O148</f>
        <v>225405601</v>
      </c>
      <c r="J148" s="94">
        <f t="shared" ref="J148:O148" si="26">J13+J18+J35+J44+J89+J96+J104+J114+J134+J144</f>
        <v>202860800</v>
      </c>
      <c r="K148" s="95">
        <f t="shared" si="26"/>
        <v>154426300</v>
      </c>
      <c r="L148" s="94">
        <f t="shared" si="26"/>
        <v>22450801</v>
      </c>
      <c r="M148" s="94">
        <f t="shared" si="26"/>
        <v>380500</v>
      </c>
      <c r="N148" s="94">
        <f t="shared" si="26"/>
        <v>0</v>
      </c>
      <c r="O148" s="94">
        <f t="shared" si="26"/>
        <v>202954800</v>
      </c>
      <c r="P148" s="134">
        <f>D148+I148</f>
        <v>986777454</v>
      </c>
    </row>
    <row r="149" spans="1:19">
      <c r="A149" s="56"/>
      <c r="B149" s="56"/>
      <c r="C149" s="57"/>
      <c r="D149" s="58"/>
      <c r="E149" s="58"/>
      <c r="F149" s="58"/>
      <c r="G149" s="58"/>
      <c r="H149" s="58"/>
      <c r="I149" s="58"/>
      <c r="J149" s="58"/>
      <c r="K149" s="68"/>
      <c r="L149" s="58"/>
      <c r="M149" s="58"/>
      <c r="N149" s="58"/>
      <c r="O149" s="58"/>
      <c r="P149" s="58"/>
    </row>
    <row r="150" spans="1:19">
      <c r="A150" s="56"/>
      <c r="B150" s="56"/>
      <c r="C150" s="57" t="s">
        <v>320</v>
      </c>
      <c r="D150" s="58"/>
      <c r="E150" s="58"/>
      <c r="F150" s="58"/>
      <c r="G150" s="58"/>
      <c r="H150" s="58"/>
      <c r="I150" s="58"/>
      <c r="J150" s="58"/>
      <c r="K150" s="68"/>
      <c r="L150" s="58"/>
      <c r="M150" s="58"/>
      <c r="N150" s="58"/>
      <c r="O150" s="58"/>
      <c r="P150" s="58"/>
    </row>
    <row r="151" spans="1:19">
      <c r="A151" s="56"/>
      <c r="B151" s="56"/>
      <c r="C151" s="72"/>
      <c r="D151" s="58"/>
      <c r="E151" s="58"/>
      <c r="F151" s="58"/>
      <c r="G151" s="58"/>
      <c r="H151" s="58"/>
      <c r="I151" s="58"/>
      <c r="J151" s="58"/>
      <c r="K151" s="68"/>
      <c r="L151" s="58"/>
      <c r="M151" s="58"/>
      <c r="N151" s="58"/>
      <c r="O151" s="58"/>
      <c r="P151" s="58"/>
    </row>
    <row r="155" spans="1:19" s="77" customFormat="1" ht="18.75">
      <c r="A155" s="74"/>
      <c r="B155" s="74"/>
      <c r="C155" s="75" t="s">
        <v>321</v>
      </c>
      <c r="D155" s="76">
        <f>'[1]2019!'!$E$166</f>
        <v>761371853</v>
      </c>
      <c r="E155" s="76">
        <f>'[1]2019!'!$F$166</f>
        <v>756371853</v>
      </c>
      <c r="F155" s="76">
        <f>'[1]2019!'!$G$166</f>
        <v>289593700</v>
      </c>
      <c r="G155" s="76">
        <f>'[1]2019!'!$H$166</f>
        <v>29439200</v>
      </c>
      <c r="H155" s="76">
        <f>'[1]2019!'!$I$166</f>
        <v>0</v>
      </c>
      <c r="I155" s="76">
        <f>'[1]2019!'!$J$166</f>
        <v>225405601</v>
      </c>
      <c r="J155" s="76">
        <f>'[1]2019!'!$K$166</f>
        <v>202860800</v>
      </c>
      <c r="K155" s="76">
        <f>'[1]2019!'!$L$165</f>
        <v>700000</v>
      </c>
      <c r="L155" s="76">
        <f>'[1]2019!'!$M$166</f>
        <v>22450801</v>
      </c>
      <c r="M155" s="76">
        <f>'[1]2019!'!$N$166</f>
        <v>380500</v>
      </c>
      <c r="N155" s="76">
        <f>'[1]2019!'!$O$166</f>
        <v>0</v>
      </c>
      <c r="O155" s="76">
        <f>'[1]2019!'!$P$166</f>
        <v>202954800</v>
      </c>
      <c r="P155" s="76">
        <f>'[1]2019!'!$Q$166</f>
        <v>986777454</v>
      </c>
      <c r="R155" s="78"/>
      <c r="S155" s="78"/>
    </row>
    <row r="156" spans="1:19" s="77" customFormat="1" ht="18.75">
      <c r="A156" s="74"/>
      <c r="B156" s="74"/>
      <c r="C156" s="75" t="s">
        <v>322</v>
      </c>
      <c r="D156" s="76">
        <f>D148-D155</f>
        <v>0</v>
      </c>
      <c r="E156" s="76">
        <f t="shared" ref="E156:P156" si="27">E148-E155</f>
        <v>0</v>
      </c>
      <c r="F156" s="76">
        <f t="shared" si="27"/>
        <v>0</v>
      </c>
      <c r="G156" s="76">
        <f t="shared" si="27"/>
        <v>0</v>
      </c>
      <c r="H156" s="76">
        <f t="shared" si="27"/>
        <v>0</v>
      </c>
      <c r="I156" s="76">
        <f t="shared" si="27"/>
        <v>0</v>
      </c>
      <c r="J156" s="76">
        <f t="shared" si="27"/>
        <v>0</v>
      </c>
      <c r="K156" s="76">
        <f t="shared" si="27"/>
        <v>153726300</v>
      </c>
      <c r="L156" s="76">
        <f t="shared" si="27"/>
        <v>0</v>
      </c>
      <c r="M156" s="76">
        <f t="shared" si="27"/>
        <v>0</v>
      </c>
      <c r="N156" s="76">
        <f t="shared" si="27"/>
        <v>0</v>
      </c>
      <c r="O156" s="76">
        <f t="shared" si="27"/>
        <v>0</v>
      </c>
      <c r="P156" s="76">
        <f t="shared" si="27"/>
        <v>0</v>
      </c>
      <c r="R156" s="78"/>
      <c r="S156" s="78"/>
    </row>
  </sheetData>
  <mergeCells count="22">
    <mergeCell ref="A5:P5"/>
    <mergeCell ref="A6:P6"/>
    <mergeCell ref="A8:A11"/>
    <mergeCell ref="B8:B11"/>
    <mergeCell ref="C8:C11"/>
    <mergeCell ref="D8:H8"/>
    <mergeCell ref="I8:O8"/>
    <mergeCell ref="P8:P11"/>
    <mergeCell ref="D9:D11"/>
    <mergeCell ref="E9:E11"/>
    <mergeCell ref="F9:G9"/>
    <mergeCell ref="H9:H11"/>
    <mergeCell ref="I9:I11"/>
    <mergeCell ref="J9:J11"/>
    <mergeCell ref="K9:K11"/>
    <mergeCell ref="L9:L11"/>
    <mergeCell ref="M9:N9"/>
    <mergeCell ref="O9:O11"/>
    <mergeCell ref="F10:F11"/>
    <mergeCell ref="G10:G11"/>
    <mergeCell ref="M10:M11"/>
    <mergeCell ref="N10:N11"/>
  </mergeCells>
  <pageMargins left="0.15748031496062992" right="0.15748031496062992" top="0.15748031496062992" bottom="0.11811023622047245" header="0.15748031496062992" footer="0.11811023622047245"/>
  <pageSetup paperSize="9" scale="46" fitToHeight="11" orientation="landscape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3"/>
  <sheetViews>
    <sheetView view="pageBreakPreview" zoomScale="80" zoomScaleNormal="80" zoomScaleSheetLayoutView="80" workbookViewId="0">
      <pane xSplit="3" ySplit="13" topLeftCell="D101" activePane="bottomRight" state="frozen"/>
      <selection pane="topRight" activeCell="E1" sqref="E1"/>
      <selection pane="bottomLeft" activeCell="A12" sqref="A12"/>
      <selection pane="bottomRight" activeCell="A7" sqref="A7:P7"/>
    </sheetView>
  </sheetViews>
  <sheetFormatPr defaultRowHeight="15.75"/>
  <cols>
    <col min="1" max="1" width="11.42578125" style="2" bestFit="1" customWidth="1"/>
    <col min="2" max="2" width="11.85546875" style="2" customWidth="1"/>
    <col min="3" max="3" width="48" style="3" customWidth="1"/>
    <col min="4" max="4" width="20.7109375" style="1" customWidth="1"/>
    <col min="5" max="5" width="23" style="1" customWidth="1"/>
    <col min="6" max="6" width="17.42578125" style="1" customWidth="1"/>
    <col min="7" max="8" width="15.7109375" style="1" customWidth="1"/>
    <col min="9" max="9" width="19.7109375" style="1" customWidth="1"/>
    <col min="10" max="10" width="18" style="1" customWidth="1"/>
    <col min="11" max="11" width="21.28515625" style="66" hidden="1" customWidth="1"/>
    <col min="12" max="12" width="19" style="1" customWidth="1"/>
    <col min="13" max="13" width="14.85546875" style="1" customWidth="1"/>
    <col min="14" max="14" width="14.140625" style="1" customWidth="1"/>
    <col min="15" max="15" width="18.85546875" style="1" customWidth="1"/>
    <col min="16" max="16" width="24.42578125" style="1" customWidth="1"/>
    <col min="17" max="17" width="13.28515625" style="1" bestFit="1" customWidth="1"/>
    <col min="18" max="19" width="18.42578125" style="53" customWidth="1"/>
    <col min="20" max="16384" width="9.140625" style="1"/>
  </cols>
  <sheetData>
    <row r="1" spans="1:16">
      <c r="O1" s="4" t="s">
        <v>323</v>
      </c>
    </row>
    <row r="2" spans="1:16">
      <c r="O2" s="92" t="s">
        <v>295</v>
      </c>
    </row>
    <row r="3" spans="1:16">
      <c r="O3" s="92" t="s">
        <v>287</v>
      </c>
    </row>
    <row r="4" spans="1:16">
      <c r="O4" s="92" t="s">
        <v>336</v>
      </c>
    </row>
    <row r="5" spans="1:16">
      <c r="A5" s="55"/>
      <c r="O5" s="4"/>
      <c r="P5" s="47"/>
    </row>
    <row r="6" spans="1:16">
      <c r="A6" s="54"/>
      <c r="O6" s="92"/>
      <c r="P6" s="65"/>
    </row>
    <row r="7" spans="1:16" ht="20.25" customHeight="1">
      <c r="A7" s="171" t="s">
        <v>294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</row>
    <row r="8" spans="1:16">
      <c r="P8" s="64" t="s">
        <v>289</v>
      </c>
    </row>
    <row r="9" spans="1:16" ht="15" customHeight="1">
      <c r="A9" s="170" t="s">
        <v>280</v>
      </c>
      <c r="B9" s="170" t="s">
        <v>281</v>
      </c>
      <c r="C9" s="170" t="s">
        <v>282</v>
      </c>
      <c r="D9" s="172" t="s">
        <v>0</v>
      </c>
      <c r="E9" s="173"/>
      <c r="F9" s="173"/>
      <c r="G9" s="173"/>
      <c r="H9" s="174"/>
      <c r="I9" s="170" t="s">
        <v>3</v>
      </c>
      <c r="J9" s="170"/>
      <c r="K9" s="170"/>
      <c r="L9" s="170"/>
      <c r="M9" s="170"/>
      <c r="N9" s="170"/>
      <c r="O9" s="170"/>
      <c r="P9" s="175" t="s">
        <v>4</v>
      </c>
    </row>
    <row r="10" spans="1:16">
      <c r="A10" s="170"/>
      <c r="B10" s="170"/>
      <c r="C10" s="170"/>
      <c r="D10" s="170" t="s">
        <v>283</v>
      </c>
      <c r="E10" s="176" t="s">
        <v>278</v>
      </c>
      <c r="F10" s="170" t="s">
        <v>1</v>
      </c>
      <c r="G10" s="170"/>
      <c r="H10" s="176" t="s">
        <v>279</v>
      </c>
      <c r="I10" s="170" t="s">
        <v>283</v>
      </c>
      <c r="J10" s="176" t="s">
        <v>284</v>
      </c>
      <c r="K10" s="179" t="s">
        <v>286</v>
      </c>
      <c r="L10" s="170" t="s">
        <v>278</v>
      </c>
      <c r="M10" s="170" t="s">
        <v>1</v>
      </c>
      <c r="N10" s="170"/>
      <c r="O10" s="170" t="s">
        <v>285</v>
      </c>
      <c r="P10" s="175"/>
    </row>
    <row r="11" spans="1:16">
      <c r="A11" s="170"/>
      <c r="B11" s="170"/>
      <c r="C11" s="170"/>
      <c r="D11" s="170"/>
      <c r="E11" s="177"/>
      <c r="F11" s="170" t="s">
        <v>10</v>
      </c>
      <c r="G11" s="170" t="s">
        <v>2</v>
      </c>
      <c r="H11" s="177"/>
      <c r="I11" s="170"/>
      <c r="J11" s="177"/>
      <c r="K11" s="180"/>
      <c r="L11" s="170"/>
      <c r="M11" s="170" t="s">
        <v>10</v>
      </c>
      <c r="N11" s="170" t="s">
        <v>2</v>
      </c>
      <c r="O11" s="170"/>
      <c r="P11" s="175"/>
    </row>
    <row r="12" spans="1:16" ht="138.75" customHeight="1">
      <c r="A12" s="170"/>
      <c r="B12" s="170"/>
      <c r="C12" s="170"/>
      <c r="D12" s="170"/>
      <c r="E12" s="178"/>
      <c r="F12" s="170"/>
      <c r="G12" s="170"/>
      <c r="H12" s="178"/>
      <c r="I12" s="170"/>
      <c r="J12" s="178"/>
      <c r="K12" s="181"/>
      <c r="L12" s="170"/>
      <c r="M12" s="170"/>
      <c r="N12" s="170"/>
      <c r="O12" s="170"/>
      <c r="P12" s="175"/>
    </row>
    <row r="13" spans="1:16">
      <c r="A13" s="5">
        <v>1</v>
      </c>
      <c r="B13" s="5">
        <v>2</v>
      </c>
      <c r="C13" s="93">
        <v>3</v>
      </c>
      <c r="D13" s="93">
        <v>4</v>
      </c>
      <c r="E13" s="93">
        <v>5</v>
      </c>
      <c r="F13" s="93">
        <v>6</v>
      </c>
      <c r="G13" s="93">
        <v>7</v>
      </c>
      <c r="H13" s="93">
        <v>8</v>
      </c>
      <c r="I13" s="93">
        <v>9</v>
      </c>
      <c r="J13" s="93">
        <v>10</v>
      </c>
      <c r="K13" s="67"/>
      <c r="L13" s="93">
        <v>11</v>
      </c>
      <c r="M13" s="93">
        <v>12</v>
      </c>
      <c r="N13" s="93">
        <v>13</v>
      </c>
      <c r="O13" s="93">
        <v>14</v>
      </c>
      <c r="P13" s="93" t="s">
        <v>288</v>
      </c>
    </row>
    <row r="14" spans="1:16" ht="18.75">
      <c r="A14" s="15" t="s">
        <v>15</v>
      </c>
      <c r="B14" s="10"/>
      <c r="C14" s="16" t="s">
        <v>5</v>
      </c>
      <c r="D14" s="80">
        <f>D15+D16+D17</f>
        <v>-2849500</v>
      </c>
      <c r="E14" s="80">
        <f>E15+E16+E17</f>
        <v>-2849500</v>
      </c>
      <c r="F14" s="80">
        <f t="shared" ref="F14:O14" si="0">F17</f>
        <v>0</v>
      </c>
      <c r="G14" s="80">
        <f t="shared" si="0"/>
        <v>0</v>
      </c>
      <c r="H14" s="80">
        <f t="shared" si="0"/>
        <v>0</v>
      </c>
      <c r="I14" s="80">
        <f t="shared" si="0"/>
        <v>-9072398</v>
      </c>
      <c r="J14" s="80">
        <f t="shared" si="0"/>
        <v>-9072398</v>
      </c>
      <c r="K14" s="80">
        <f t="shared" si="0"/>
        <v>0</v>
      </c>
      <c r="L14" s="80">
        <f t="shared" si="0"/>
        <v>0</v>
      </c>
      <c r="M14" s="80">
        <f t="shared" si="0"/>
        <v>0</v>
      </c>
      <c r="N14" s="80">
        <f t="shared" si="0"/>
        <v>0</v>
      </c>
      <c r="O14" s="80">
        <f t="shared" si="0"/>
        <v>-9072398</v>
      </c>
      <c r="P14" s="80">
        <f>D14+I14</f>
        <v>-11921898</v>
      </c>
    </row>
    <row r="15" spans="1:16" ht="75.75">
      <c r="A15" s="10" t="s">
        <v>126</v>
      </c>
      <c r="B15" s="10" t="s">
        <v>17</v>
      </c>
      <c r="C15" s="35" t="s">
        <v>125</v>
      </c>
      <c r="D15" s="81">
        <f t="shared" ref="D15:D22" si="1">E15+H15</f>
        <v>350000</v>
      </c>
      <c r="E15" s="81">
        <f>200000+20000+50000+80000</f>
        <v>350000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>
        <f t="shared" ref="P15:P53" si="2">D15+I15</f>
        <v>350000</v>
      </c>
    </row>
    <row r="16" spans="1:16" ht="45.75">
      <c r="A16" s="10" t="s">
        <v>128</v>
      </c>
      <c r="B16" s="10" t="s">
        <v>17</v>
      </c>
      <c r="C16" s="36" t="s">
        <v>253</v>
      </c>
      <c r="D16" s="81">
        <f t="shared" si="1"/>
        <v>800500</v>
      </c>
      <c r="E16" s="81">
        <f>198700+50000+96000+100000+55800+30000+50000+100000+50000+50000+20000</f>
        <v>800500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>
        <f t="shared" si="2"/>
        <v>800500</v>
      </c>
    </row>
    <row r="17" spans="1:19" ht="18.75">
      <c r="A17" s="10" t="s">
        <v>16</v>
      </c>
      <c r="B17" s="10" t="s">
        <v>71</v>
      </c>
      <c r="C17" s="33" t="s">
        <v>184</v>
      </c>
      <c r="D17" s="81">
        <f t="shared" si="1"/>
        <v>-4000000</v>
      </c>
      <c r="E17" s="81">
        <f>100000-1800000-2300000</f>
        <v>-4000000</v>
      </c>
      <c r="F17" s="81"/>
      <c r="G17" s="81"/>
      <c r="H17" s="81"/>
      <c r="I17" s="81">
        <f>L17+O17</f>
        <v>-9072398</v>
      </c>
      <c r="J17" s="81">
        <f>-8472398-600000</f>
        <v>-9072398</v>
      </c>
      <c r="K17" s="82"/>
      <c r="L17" s="81"/>
      <c r="M17" s="81"/>
      <c r="N17" s="81"/>
      <c r="O17" s="81">
        <f>-8472398-600000</f>
        <v>-9072398</v>
      </c>
      <c r="P17" s="81">
        <f t="shared" si="2"/>
        <v>-13072398</v>
      </c>
    </row>
    <row r="18" spans="1:19" ht="18.75">
      <c r="A18" s="15" t="s">
        <v>18</v>
      </c>
      <c r="B18" s="10"/>
      <c r="C18" s="16" t="s">
        <v>6</v>
      </c>
      <c r="D18" s="80">
        <f t="shared" si="1"/>
        <v>2229042</v>
      </c>
      <c r="E18" s="80">
        <f>E19+E22+E23+E24+E25+E26+E27</f>
        <v>2229042</v>
      </c>
      <c r="F18" s="80">
        <f t="shared" ref="F18:H18" si="3">F19+F22+F23+F24+F25+F26+F27</f>
        <v>-300000</v>
      </c>
      <c r="G18" s="80">
        <f t="shared" si="3"/>
        <v>-700000</v>
      </c>
      <c r="H18" s="80">
        <f t="shared" si="3"/>
        <v>0</v>
      </c>
      <c r="I18" s="80">
        <f>L18+O18</f>
        <v>1522272.3900000001</v>
      </c>
      <c r="J18" s="80">
        <f>J19+J22+J23+J24+J25+J26+J27</f>
        <v>1522272.3900000001</v>
      </c>
      <c r="K18" s="80">
        <f>K19+K22+K23+K24+K25+K26+K27</f>
        <v>629314</v>
      </c>
      <c r="L18" s="80">
        <f t="shared" ref="L18:N18" si="4">L19+L22+L23+L24+L25+L26+L27</f>
        <v>0</v>
      </c>
      <c r="M18" s="80">
        <f t="shared" si="4"/>
        <v>0</v>
      </c>
      <c r="N18" s="80">
        <f t="shared" si="4"/>
        <v>0</v>
      </c>
      <c r="O18" s="80">
        <f>O19+O22+O23+O24+O25+O26+O27</f>
        <v>1522272.3900000001</v>
      </c>
      <c r="P18" s="80">
        <f t="shared" ref="P18:P27" si="5">D18+I18</f>
        <v>3751314.39</v>
      </c>
    </row>
    <row r="19" spans="1:19" s="26" customFormat="1" ht="18.75">
      <c r="A19" s="10" t="s">
        <v>20</v>
      </c>
      <c r="B19" s="10" t="s">
        <v>19</v>
      </c>
      <c r="C19" s="24" t="s">
        <v>146</v>
      </c>
      <c r="D19" s="81">
        <f t="shared" si="1"/>
        <v>250000</v>
      </c>
      <c r="E19" s="81">
        <f>200000+25000+25000</f>
        <v>250000</v>
      </c>
      <c r="F19" s="81"/>
      <c r="G19" s="81">
        <v>-700000</v>
      </c>
      <c r="H19" s="81"/>
      <c r="I19" s="81">
        <f>L19+O19</f>
        <v>22958.39</v>
      </c>
      <c r="J19" s="81">
        <f>22958.39</f>
        <v>22958.39</v>
      </c>
      <c r="K19" s="82"/>
      <c r="L19" s="81"/>
      <c r="M19" s="81"/>
      <c r="N19" s="81"/>
      <c r="O19" s="81">
        <f>22958.39</f>
        <v>22958.39</v>
      </c>
      <c r="P19" s="81">
        <f t="shared" si="5"/>
        <v>272958.39</v>
      </c>
      <c r="R19" s="62"/>
      <c r="S19" s="62"/>
    </row>
    <row r="20" spans="1:19" s="135" customFormat="1" ht="18.75">
      <c r="A20" s="9"/>
      <c r="B20" s="9"/>
      <c r="C20" s="8" t="s">
        <v>331</v>
      </c>
      <c r="D20" s="87">
        <f>-700000</f>
        <v>-700000</v>
      </c>
      <c r="E20" s="87">
        <v>-700000</v>
      </c>
      <c r="F20" s="87"/>
      <c r="G20" s="87">
        <v>-700000</v>
      </c>
      <c r="H20" s="87"/>
      <c r="I20" s="87"/>
      <c r="J20" s="87"/>
      <c r="K20" s="88"/>
      <c r="L20" s="87"/>
      <c r="M20" s="87"/>
      <c r="N20" s="87"/>
      <c r="O20" s="87"/>
      <c r="P20" s="87">
        <f t="shared" si="5"/>
        <v>-700000</v>
      </c>
      <c r="R20" s="136"/>
      <c r="S20" s="136"/>
    </row>
    <row r="21" spans="1:19" s="135" customFormat="1" ht="18.75">
      <c r="A21" s="9"/>
      <c r="B21" s="9"/>
      <c r="C21" s="8" t="s">
        <v>332</v>
      </c>
      <c r="D21" s="87">
        <f>700000</f>
        <v>700000</v>
      </c>
      <c r="E21" s="87">
        <v>700000</v>
      </c>
      <c r="F21" s="87"/>
      <c r="G21" s="87"/>
      <c r="H21" s="87"/>
      <c r="I21" s="87"/>
      <c r="J21" s="87"/>
      <c r="K21" s="88"/>
      <c r="L21" s="87"/>
      <c r="M21" s="87"/>
      <c r="N21" s="87"/>
      <c r="O21" s="87"/>
      <c r="P21" s="87">
        <f t="shared" si="5"/>
        <v>700000</v>
      </c>
      <c r="R21" s="136"/>
      <c r="S21" s="136"/>
    </row>
    <row r="22" spans="1:19" ht="75.75">
      <c r="A22" s="10" t="s">
        <v>21</v>
      </c>
      <c r="B22" s="10" t="s">
        <v>22</v>
      </c>
      <c r="C22" s="36" t="s">
        <v>23</v>
      </c>
      <c r="D22" s="81">
        <f t="shared" si="1"/>
        <v>2204042</v>
      </c>
      <c r="E22" s="81">
        <f>554121+25000+25000+198750+13250+1400000-12079</f>
        <v>2204042</v>
      </c>
      <c r="F22" s="81"/>
      <c r="G22" s="81"/>
      <c r="H22" s="81"/>
      <c r="I22" s="81">
        <f>L22+O22</f>
        <v>774579</v>
      </c>
      <c r="J22" s="81">
        <f>365500+870000-1400000+927000+12079</f>
        <v>774579</v>
      </c>
      <c r="K22" s="82">
        <f>365500-1400000+927000+12079</f>
        <v>-95421</v>
      </c>
      <c r="L22" s="81"/>
      <c r="M22" s="81"/>
      <c r="N22" s="81"/>
      <c r="O22" s="81">
        <f>365500+870000-1400000+927000+12079</f>
        <v>774579</v>
      </c>
      <c r="P22" s="81">
        <f t="shared" si="5"/>
        <v>2978621</v>
      </c>
      <c r="Q22" s="73"/>
    </row>
    <row r="23" spans="1:19" ht="75.75">
      <c r="A23" s="10" t="s">
        <v>64</v>
      </c>
      <c r="B23" s="10" t="s">
        <v>27</v>
      </c>
      <c r="C23" s="36" t="s">
        <v>111</v>
      </c>
      <c r="D23" s="81">
        <f>E23</f>
        <v>0</v>
      </c>
      <c r="E23" s="81">
        <f>13250-13250</f>
        <v>0</v>
      </c>
      <c r="F23" s="81"/>
      <c r="G23" s="81"/>
      <c r="H23" s="81"/>
      <c r="I23" s="81">
        <f>L23+O23</f>
        <v>61735</v>
      </c>
      <c r="J23" s="81">
        <v>61735</v>
      </c>
      <c r="K23" s="82">
        <v>61735</v>
      </c>
      <c r="L23" s="81"/>
      <c r="M23" s="81"/>
      <c r="N23" s="81"/>
      <c r="O23" s="81">
        <v>61735</v>
      </c>
      <c r="P23" s="81">
        <f t="shared" si="5"/>
        <v>61735</v>
      </c>
      <c r="Q23" s="73"/>
    </row>
    <row r="24" spans="1:19" ht="45.75">
      <c r="A24" s="10" t="s">
        <v>28</v>
      </c>
      <c r="B24" s="10" t="s">
        <v>29</v>
      </c>
      <c r="C24" s="36" t="s">
        <v>30</v>
      </c>
      <c r="D24" s="81">
        <f>E24+H24</f>
        <v>50000</v>
      </c>
      <c r="E24" s="81">
        <f>25000+25000</f>
        <v>50000</v>
      </c>
      <c r="F24" s="81"/>
      <c r="G24" s="81"/>
      <c r="H24" s="81"/>
      <c r="I24" s="81">
        <f>L24+O24</f>
        <v>300000</v>
      </c>
      <c r="J24" s="81">
        <v>300000</v>
      </c>
      <c r="K24" s="82">
        <v>300000</v>
      </c>
      <c r="L24" s="81"/>
      <c r="M24" s="81"/>
      <c r="N24" s="81"/>
      <c r="O24" s="81">
        <v>300000</v>
      </c>
      <c r="P24" s="81">
        <f t="shared" si="5"/>
        <v>350000</v>
      </c>
      <c r="Q24" s="73"/>
    </row>
    <row r="25" spans="1:19" ht="60.75">
      <c r="A25" s="10" t="s">
        <v>132</v>
      </c>
      <c r="B25" s="10" t="s">
        <v>29</v>
      </c>
      <c r="C25" s="36" t="s">
        <v>133</v>
      </c>
      <c r="D25" s="81">
        <f>E25+H25</f>
        <v>25000</v>
      </c>
      <c r="E25" s="81">
        <f>25000</f>
        <v>25000</v>
      </c>
      <c r="F25" s="81"/>
      <c r="G25" s="81"/>
      <c r="H25" s="81"/>
      <c r="I25" s="81"/>
      <c r="J25" s="81"/>
      <c r="K25" s="82"/>
      <c r="L25" s="81"/>
      <c r="M25" s="81"/>
      <c r="N25" s="81"/>
      <c r="O25" s="81"/>
      <c r="P25" s="81">
        <f t="shared" si="5"/>
        <v>25000</v>
      </c>
      <c r="Q25" s="73"/>
    </row>
    <row r="26" spans="1:19" ht="30.75">
      <c r="A26" s="10" t="s">
        <v>228</v>
      </c>
      <c r="B26" s="10" t="s">
        <v>33</v>
      </c>
      <c r="C26" s="36" t="s">
        <v>229</v>
      </c>
      <c r="D26" s="81">
        <f>E26+H26</f>
        <v>-1313700</v>
      </c>
      <c r="E26" s="81">
        <f>363000-1739700+63000</f>
        <v>-1313700</v>
      </c>
      <c r="F26" s="81">
        <f>363000-1700300+60500</f>
        <v>-1276800</v>
      </c>
      <c r="G26" s="81"/>
      <c r="H26" s="81"/>
      <c r="I26" s="81">
        <f>L26+O26</f>
        <v>0</v>
      </c>
      <c r="J26" s="81"/>
      <c r="K26" s="81"/>
      <c r="L26" s="81"/>
      <c r="M26" s="81"/>
      <c r="N26" s="81"/>
      <c r="O26" s="81"/>
      <c r="P26" s="81">
        <f t="shared" si="5"/>
        <v>-1313700</v>
      </c>
      <c r="Q26" s="73"/>
    </row>
    <row r="27" spans="1:19" ht="30.75">
      <c r="A27" s="10" t="s">
        <v>324</v>
      </c>
      <c r="B27" s="10" t="s">
        <v>33</v>
      </c>
      <c r="C27" s="36" t="s">
        <v>325</v>
      </c>
      <c r="D27" s="81">
        <f>E27+H27</f>
        <v>1013700</v>
      </c>
      <c r="E27" s="81">
        <f>1313700-363000+363000-300000</f>
        <v>1013700</v>
      </c>
      <c r="F27" s="81">
        <f>1276800-363000+363000-300000</f>
        <v>976800</v>
      </c>
      <c r="G27" s="81"/>
      <c r="H27" s="81"/>
      <c r="I27" s="81">
        <f>L27+O27</f>
        <v>363000</v>
      </c>
      <c r="J27" s="81">
        <f>363000</f>
        <v>363000</v>
      </c>
      <c r="K27" s="81">
        <f>363000</f>
        <v>363000</v>
      </c>
      <c r="L27" s="81"/>
      <c r="M27" s="81"/>
      <c r="N27" s="81"/>
      <c r="O27" s="81">
        <f>363000</f>
        <v>363000</v>
      </c>
      <c r="P27" s="81">
        <f t="shared" si="5"/>
        <v>1376700</v>
      </c>
      <c r="Q27" s="73"/>
    </row>
    <row r="28" spans="1:19" s="17" customFormat="1" ht="18.75">
      <c r="A28" s="15" t="s">
        <v>34</v>
      </c>
      <c r="B28" s="15"/>
      <c r="C28" s="39" t="s">
        <v>14</v>
      </c>
      <c r="D28" s="80">
        <f>D29+D30</f>
        <v>953081.2</v>
      </c>
      <c r="E28" s="80">
        <f t="shared" ref="E28:O28" si="6">E29+E30</f>
        <v>953081.2</v>
      </c>
      <c r="F28" s="80">
        <f t="shared" si="6"/>
        <v>0</v>
      </c>
      <c r="G28" s="80">
        <f t="shared" si="6"/>
        <v>0</v>
      </c>
      <c r="H28" s="80">
        <f t="shared" si="6"/>
        <v>0</v>
      </c>
      <c r="I28" s="80">
        <f t="shared" si="6"/>
        <v>133000</v>
      </c>
      <c r="J28" s="80">
        <f t="shared" si="6"/>
        <v>133000</v>
      </c>
      <c r="K28" s="80">
        <f t="shared" si="6"/>
        <v>133000</v>
      </c>
      <c r="L28" s="80">
        <f t="shared" si="6"/>
        <v>0</v>
      </c>
      <c r="M28" s="80">
        <f t="shared" si="6"/>
        <v>0</v>
      </c>
      <c r="N28" s="80">
        <f t="shared" si="6"/>
        <v>0</v>
      </c>
      <c r="O28" s="80">
        <f t="shared" si="6"/>
        <v>133000</v>
      </c>
      <c r="P28" s="83">
        <f t="shared" si="2"/>
        <v>1086081.2</v>
      </c>
      <c r="R28" s="59"/>
      <c r="S28" s="59"/>
    </row>
    <row r="29" spans="1:19" ht="34.5" customHeight="1">
      <c r="A29" s="10" t="s">
        <v>35</v>
      </c>
      <c r="B29" s="10" t="s">
        <v>36</v>
      </c>
      <c r="C29" s="6" t="s">
        <v>37</v>
      </c>
      <c r="D29" s="84">
        <f>E29+H29</f>
        <v>915081.2</v>
      </c>
      <c r="E29" s="84">
        <f>431738.2-100000+50000+100000+433343</f>
        <v>915081.2</v>
      </c>
      <c r="F29" s="84"/>
      <c r="G29" s="84"/>
      <c r="H29" s="84"/>
      <c r="I29" s="84">
        <f>L29+O29</f>
        <v>100000</v>
      </c>
      <c r="J29" s="84">
        <f>100000+500000-500000</f>
        <v>100000</v>
      </c>
      <c r="K29" s="85">
        <f>100000+500000-500000</f>
        <v>100000</v>
      </c>
      <c r="L29" s="84"/>
      <c r="M29" s="84"/>
      <c r="N29" s="84"/>
      <c r="O29" s="84">
        <f>100000+500000-500000</f>
        <v>100000</v>
      </c>
      <c r="P29" s="84">
        <f t="shared" si="2"/>
        <v>1015081.2</v>
      </c>
    </row>
    <row r="30" spans="1:19" ht="19.5" customHeight="1">
      <c r="A30" s="10" t="s">
        <v>127</v>
      </c>
      <c r="B30" s="10" t="s">
        <v>38</v>
      </c>
      <c r="C30" s="6" t="s">
        <v>256</v>
      </c>
      <c r="D30" s="84">
        <f>E30+H30</f>
        <v>38000</v>
      </c>
      <c r="E30" s="84">
        <f>29000+9000</f>
        <v>38000</v>
      </c>
      <c r="F30" s="84"/>
      <c r="G30" s="84"/>
      <c r="H30" s="84"/>
      <c r="I30" s="84">
        <f>L30+O30</f>
        <v>33000</v>
      </c>
      <c r="J30" s="84">
        <v>33000</v>
      </c>
      <c r="K30" s="85">
        <v>33000</v>
      </c>
      <c r="L30" s="84"/>
      <c r="M30" s="84"/>
      <c r="N30" s="84"/>
      <c r="O30" s="84">
        <v>33000</v>
      </c>
      <c r="P30" s="84">
        <f t="shared" si="2"/>
        <v>71000</v>
      </c>
    </row>
    <row r="31" spans="1:19" s="32" customFormat="1" ht="32.25" customHeight="1">
      <c r="A31" s="30" t="s">
        <v>39</v>
      </c>
      <c r="B31" s="31"/>
      <c r="C31" s="18" t="s">
        <v>7</v>
      </c>
      <c r="D31" s="80">
        <f>E31+H31</f>
        <v>-1145000</v>
      </c>
      <c r="E31" s="80">
        <f>E32+E37+E40+E42</f>
        <v>-1145000</v>
      </c>
      <c r="F31" s="80">
        <f t="shared" ref="F31:O31" si="7">F32+F37+F40+F42</f>
        <v>0</v>
      </c>
      <c r="G31" s="80">
        <f t="shared" si="7"/>
        <v>0</v>
      </c>
      <c r="H31" s="80">
        <f t="shared" si="7"/>
        <v>0</v>
      </c>
      <c r="I31" s="80">
        <f t="shared" si="7"/>
        <v>0</v>
      </c>
      <c r="J31" s="80">
        <f t="shared" si="7"/>
        <v>0</v>
      </c>
      <c r="K31" s="80">
        <f t="shared" si="7"/>
        <v>0</v>
      </c>
      <c r="L31" s="80">
        <f t="shared" si="7"/>
        <v>0</v>
      </c>
      <c r="M31" s="80">
        <f t="shared" si="7"/>
        <v>0</v>
      </c>
      <c r="N31" s="80">
        <f t="shared" si="7"/>
        <v>0</v>
      </c>
      <c r="O31" s="80">
        <f t="shared" si="7"/>
        <v>0</v>
      </c>
      <c r="P31" s="83">
        <f t="shared" si="2"/>
        <v>-1145000</v>
      </c>
      <c r="R31" s="69"/>
      <c r="S31" s="69"/>
    </row>
    <row r="32" spans="1:19" s="32" customFormat="1" ht="32.25" customHeight="1">
      <c r="A32" s="15" t="s">
        <v>76</v>
      </c>
      <c r="B32" s="15"/>
      <c r="C32" s="18" t="s">
        <v>238</v>
      </c>
      <c r="D32" s="80">
        <f>E32+H32</f>
        <v>-3245000</v>
      </c>
      <c r="E32" s="80">
        <f>E33+E34+E35+E36</f>
        <v>-3245000</v>
      </c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3">
        <f>D32+I32</f>
        <v>-3245000</v>
      </c>
      <c r="R32" s="69"/>
      <c r="S32" s="69"/>
    </row>
    <row r="33" spans="1:19" s="32" customFormat="1" ht="32.25" customHeight="1">
      <c r="A33" s="9" t="s">
        <v>77</v>
      </c>
      <c r="B33" s="9" t="s">
        <v>78</v>
      </c>
      <c r="C33" s="40" t="s">
        <v>79</v>
      </c>
      <c r="D33" s="87">
        <f>E33</f>
        <v>-238000</v>
      </c>
      <c r="E33" s="87">
        <v>-238000</v>
      </c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90">
        <f t="shared" ref="P33:P41" si="8">D33+I33</f>
        <v>-238000</v>
      </c>
      <c r="R33" s="69"/>
      <c r="S33" s="69"/>
    </row>
    <row r="34" spans="1:19" s="32" customFormat="1" ht="32.25" customHeight="1">
      <c r="A34" s="9" t="s">
        <v>81</v>
      </c>
      <c r="B34" s="9" t="s">
        <v>78</v>
      </c>
      <c r="C34" s="40" t="s">
        <v>82</v>
      </c>
      <c r="D34" s="87">
        <f t="shared" ref="D34:D39" si="9">E34</f>
        <v>-2367000</v>
      </c>
      <c r="E34" s="87">
        <f>-2167000-200000</f>
        <v>-2367000</v>
      </c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90">
        <f t="shared" si="8"/>
        <v>-2367000</v>
      </c>
      <c r="R34" s="69"/>
      <c r="S34" s="69"/>
    </row>
    <row r="35" spans="1:19" s="32" customFormat="1" ht="32.25" customHeight="1">
      <c r="A35" s="9" t="s">
        <v>85</v>
      </c>
      <c r="B35" s="9" t="s">
        <v>78</v>
      </c>
      <c r="C35" s="40" t="s">
        <v>86</v>
      </c>
      <c r="D35" s="87">
        <f t="shared" si="9"/>
        <v>-360000</v>
      </c>
      <c r="E35" s="87">
        <v>-360000</v>
      </c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90">
        <f t="shared" si="8"/>
        <v>-360000</v>
      </c>
      <c r="R35" s="69"/>
      <c r="S35" s="69"/>
    </row>
    <row r="36" spans="1:19" s="32" customFormat="1" ht="32.25" customHeight="1">
      <c r="A36" s="9" t="s">
        <v>87</v>
      </c>
      <c r="B36" s="9" t="s">
        <v>78</v>
      </c>
      <c r="C36" s="40" t="s">
        <v>88</v>
      </c>
      <c r="D36" s="87">
        <f t="shared" si="9"/>
        <v>-280000</v>
      </c>
      <c r="E36" s="87">
        <v>-280000</v>
      </c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90">
        <f t="shared" si="8"/>
        <v>-280000</v>
      </c>
      <c r="R36" s="69"/>
      <c r="S36" s="69"/>
    </row>
    <row r="37" spans="1:19" s="32" customFormat="1" ht="205.5">
      <c r="A37" s="30" t="s">
        <v>105</v>
      </c>
      <c r="B37" s="30"/>
      <c r="C37" s="115" t="s">
        <v>330</v>
      </c>
      <c r="D37" s="80">
        <f>E37</f>
        <v>-50000</v>
      </c>
      <c r="E37" s="80">
        <f>E38+E39</f>
        <v>-50000</v>
      </c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3">
        <f t="shared" si="8"/>
        <v>-50000</v>
      </c>
      <c r="R37" s="69"/>
      <c r="S37" s="69"/>
    </row>
    <row r="38" spans="1:19" s="32" customFormat="1" ht="63.75">
      <c r="A38" s="111" t="s">
        <v>305</v>
      </c>
      <c r="B38" s="111" t="s">
        <v>78</v>
      </c>
      <c r="C38" s="8" t="s">
        <v>306</v>
      </c>
      <c r="D38" s="87">
        <f t="shared" si="9"/>
        <v>-250000</v>
      </c>
      <c r="E38" s="87">
        <v>-250000</v>
      </c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90">
        <f t="shared" si="8"/>
        <v>-250000</v>
      </c>
      <c r="R38" s="69"/>
      <c r="S38" s="69"/>
    </row>
    <row r="39" spans="1:19" s="32" customFormat="1" ht="32.25">
      <c r="A39" s="111" t="s">
        <v>328</v>
      </c>
      <c r="B39" s="111" t="s">
        <v>78</v>
      </c>
      <c r="C39" s="8" t="s">
        <v>329</v>
      </c>
      <c r="D39" s="87">
        <f t="shared" si="9"/>
        <v>200000</v>
      </c>
      <c r="E39" s="87">
        <v>200000</v>
      </c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90">
        <f t="shared" si="8"/>
        <v>200000</v>
      </c>
      <c r="R39" s="69"/>
      <c r="S39" s="69"/>
    </row>
    <row r="40" spans="1:19" s="123" customFormat="1" ht="18.75">
      <c r="A40" s="30" t="s">
        <v>247</v>
      </c>
      <c r="B40" s="30"/>
      <c r="C40" s="18" t="s">
        <v>104</v>
      </c>
      <c r="D40" s="80">
        <f>D41</f>
        <v>150000</v>
      </c>
      <c r="E40" s="80">
        <f>E41</f>
        <v>150000</v>
      </c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3">
        <f t="shared" si="8"/>
        <v>150000</v>
      </c>
      <c r="R40" s="124"/>
      <c r="S40" s="124"/>
    </row>
    <row r="41" spans="1:19" s="121" customFormat="1" ht="48">
      <c r="A41" s="111" t="s">
        <v>248</v>
      </c>
      <c r="B41" s="111" t="s">
        <v>24</v>
      </c>
      <c r="C41" s="8" t="s">
        <v>333</v>
      </c>
      <c r="D41" s="87">
        <f>E41+H41</f>
        <v>150000</v>
      </c>
      <c r="E41" s="87">
        <v>150000</v>
      </c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90">
        <f t="shared" si="8"/>
        <v>150000</v>
      </c>
      <c r="R41" s="122"/>
      <c r="S41" s="122"/>
    </row>
    <row r="42" spans="1:19" ht="18.75">
      <c r="A42" s="30" t="s">
        <v>250</v>
      </c>
      <c r="B42" s="30"/>
      <c r="C42" s="18" t="s">
        <v>221</v>
      </c>
      <c r="D42" s="80">
        <f>D43</f>
        <v>2000000</v>
      </c>
      <c r="E42" s="80">
        <f>E43</f>
        <v>2000000</v>
      </c>
      <c r="F42" s="80">
        <f t="shared" ref="F42:O42" si="10">F43</f>
        <v>0</v>
      </c>
      <c r="G42" s="80">
        <f t="shared" si="10"/>
        <v>0</v>
      </c>
      <c r="H42" s="80"/>
      <c r="I42" s="80">
        <f t="shared" si="10"/>
        <v>0</v>
      </c>
      <c r="J42" s="80">
        <f t="shared" si="10"/>
        <v>0</v>
      </c>
      <c r="K42" s="86">
        <f t="shared" si="10"/>
        <v>0</v>
      </c>
      <c r="L42" s="80">
        <f t="shared" si="10"/>
        <v>0</v>
      </c>
      <c r="M42" s="80">
        <f t="shared" si="10"/>
        <v>0</v>
      </c>
      <c r="N42" s="80">
        <f t="shared" si="10"/>
        <v>0</v>
      </c>
      <c r="O42" s="80">
        <f t="shared" si="10"/>
        <v>0</v>
      </c>
      <c r="P42" s="83">
        <f t="shared" si="2"/>
        <v>2000000</v>
      </c>
    </row>
    <row r="43" spans="1:19" ht="32.25">
      <c r="A43" s="10" t="s">
        <v>251</v>
      </c>
      <c r="B43" s="10" t="s">
        <v>28</v>
      </c>
      <c r="C43" s="6" t="s">
        <v>252</v>
      </c>
      <c r="D43" s="81">
        <f>E43</f>
        <v>2000000</v>
      </c>
      <c r="E43" s="81">
        <f>2000000</f>
        <v>2000000</v>
      </c>
      <c r="F43" s="81"/>
      <c r="G43" s="81"/>
      <c r="H43" s="81"/>
      <c r="I43" s="80"/>
      <c r="J43" s="81"/>
      <c r="K43" s="82"/>
      <c r="L43" s="81"/>
      <c r="M43" s="81"/>
      <c r="N43" s="81"/>
      <c r="O43" s="81"/>
      <c r="P43" s="84">
        <f t="shared" si="2"/>
        <v>2000000</v>
      </c>
    </row>
    <row r="44" spans="1:19" ht="18.75">
      <c r="A44" s="15" t="s">
        <v>50</v>
      </c>
      <c r="B44" s="15"/>
      <c r="C44" s="41" t="s">
        <v>9</v>
      </c>
      <c r="D44" s="80">
        <f>D45+D46+D47</f>
        <v>423977</v>
      </c>
      <c r="E44" s="80">
        <f t="shared" ref="E44:P44" si="11">E45+E46+E47</f>
        <v>423977</v>
      </c>
      <c r="F44" s="80">
        <f t="shared" si="11"/>
        <v>0</v>
      </c>
      <c r="G44" s="80">
        <f t="shared" si="11"/>
        <v>0</v>
      </c>
      <c r="H44" s="80">
        <f t="shared" si="11"/>
        <v>0</v>
      </c>
      <c r="I44" s="80">
        <f t="shared" si="11"/>
        <v>0</v>
      </c>
      <c r="J44" s="80">
        <f t="shared" si="11"/>
        <v>0</v>
      </c>
      <c r="K44" s="80">
        <f t="shared" si="11"/>
        <v>0</v>
      </c>
      <c r="L44" s="80">
        <f t="shared" si="11"/>
        <v>0</v>
      </c>
      <c r="M44" s="80">
        <f t="shared" si="11"/>
        <v>0</v>
      </c>
      <c r="N44" s="80">
        <f t="shared" si="11"/>
        <v>0</v>
      </c>
      <c r="O44" s="80">
        <f t="shared" si="11"/>
        <v>0</v>
      </c>
      <c r="P44" s="80">
        <f t="shared" si="11"/>
        <v>423977</v>
      </c>
    </row>
    <row r="45" spans="1:19" ht="18.75">
      <c r="A45" s="10" t="s">
        <v>139</v>
      </c>
      <c r="B45" s="10" t="s">
        <v>52</v>
      </c>
      <c r="C45" s="42" t="s">
        <v>142</v>
      </c>
      <c r="D45" s="81">
        <f>E45+H45</f>
        <v>167858</v>
      </c>
      <c r="E45" s="81">
        <f>50000+25000+92858</f>
        <v>167858</v>
      </c>
      <c r="F45" s="81"/>
      <c r="G45" s="81"/>
      <c r="H45" s="81"/>
      <c r="I45" s="80"/>
      <c r="J45" s="81"/>
      <c r="K45" s="82"/>
      <c r="L45" s="81"/>
      <c r="M45" s="81"/>
      <c r="N45" s="81"/>
      <c r="O45" s="81"/>
      <c r="P45" s="84">
        <f>D45+I45</f>
        <v>167858</v>
      </c>
    </row>
    <row r="46" spans="1:19" ht="18.75">
      <c r="A46" s="10" t="s">
        <v>140</v>
      </c>
      <c r="B46" s="10" t="s">
        <v>52</v>
      </c>
      <c r="C46" s="42" t="s">
        <v>141</v>
      </c>
      <c r="D46" s="81">
        <f t="shared" ref="D46:D47" si="12">E46+H46</f>
        <v>111119</v>
      </c>
      <c r="E46" s="81">
        <f>29500+25000+56619</f>
        <v>111119</v>
      </c>
      <c r="F46" s="81"/>
      <c r="G46" s="81"/>
      <c r="H46" s="81"/>
      <c r="I46" s="80"/>
      <c r="J46" s="81"/>
      <c r="K46" s="82"/>
      <c r="L46" s="81"/>
      <c r="M46" s="81"/>
      <c r="N46" s="81"/>
      <c r="O46" s="81"/>
      <c r="P46" s="84">
        <f t="shared" ref="P46:P47" si="13">D46+I46</f>
        <v>111119</v>
      </c>
    </row>
    <row r="47" spans="1:19" ht="45.75">
      <c r="A47" s="10" t="s">
        <v>51</v>
      </c>
      <c r="B47" s="10" t="s">
        <v>53</v>
      </c>
      <c r="C47" s="42" t="s">
        <v>143</v>
      </c>
      <c r="D47" s="81">
        <f t="shared" si="12"/>
        <v>145000</v>
      </c>
      <c r="E47" s="81">
        <f>120000+25000</f>
        <v>145000</v>
      </c>
      <c r="F47" s="81"/>
      <c r="G47" s="81"/>
      <c r="H47" s="81"/>
      <c r="I47" s="80"/>
      <c r="J47" s="81"/>
      <c r="K47" s="82"/>
      <c r="L47" s="81"/>
      <c r="M47" s="81"/>
      <c r="N47" s="81"/>
      <c r="O47" s="81"/>
      <c r="P47" s="84">
        <f t="shared" si="13"/>
        <v>145000</v>
      </c>
    </row>
    <row r="48" spans="1:19" ht="18.75">
      <c r="A48" s="15" t="s">
        <v>55</v>
      </c>
      <c r="B48" s="15"/>
      <c r="C48" s="41" t="s">
        <v>12</v>
      </c>
      <c r="D48" s="80">
        <f>D49+D51</f>
        <v>50000</v>
      </c>
      <c r="E48" s="80">
        <f>E49+E51</f>
        <v>50000</v>
      </c>
      <c r="F48" s="80"/>
      <c r="G48" s="80"/>
      <c r="H48" s="80"/>
      <c r="I48" s="80"/>
      <c r="J48" s="80"/>
      <c r="K48" s="86"/>
      <c r="L48" s="80"/>
      <c r="M48" s="80"/>
      <c r="N48" s="80"/>
      <c r="O48" s="80"/>
      <c r="P48" s="83">
        <f>D48+H48</f>
        <v>50000</v>
      </c>
    </row>
    <row r="49" spans="1:19" ht="18.75">
      <c r="A49" s="10" t="s">
        <v>113</v>
      </c>
      <c r="B49" s="10"/>
      <c r="C49" s="11" t="s">
        <v>112</v>
      </c>
      <c r="D49" s="81">
        <f>D50</f>
        <v>400000</v>
      </c>
      <c r="E49" s="81">
        <f>E50</f>
        <v>400000</v>
      </c>
      <c r="F49" s="81"/>
      <c r="G49" s="81"/>
      <c r="H49" s="81"/>
      <c r="I49" s="80"/>
      <c r="J49" s="81"/>
      <c r="K49" s="82"/>
      <c r="L49" s="81"/>
      <c r="M49" s="81"/>
      <c r="N49" s="81"/>
      <c r="O49" s="81"/>
      <c r="P49" s="84">
        <f t="shared" ref="P49:P50" si="14">D49+H49</f>
        <v>400000</v>
      </c>
    </row>
    <row r="50" spans="1:19" ht="45.75">
      <c r="A50" s="9" t="s">
        <v>114</v>
      </c>
      <c r="B50" s="9" t="s">
        <v>59</v>
      </c>
      <c r="C50" s="40" t="s">
        <v>117</v>
      </c>
      <c r="D50" s="81">
        <f>E50+H50</f>
        <v>400000</v>
      </c>
      <c r="E50" s="81">
        <f>25000+25000+350000</f>
        <v>400000</v>
      </c>
      <c r="F50" s="81"/>
      <c r="G50" s="81"/>
      <c r="H50" s="81"/>
      <c r="I50" s="80"/>
      <c r="J50" s="81"/>
      <c r="K50" s="82"/>
      <c r="L50" s="81"/>
      <c r="M50" s="81"/>
      <c r="N50" s="81"/>
      <c r="O50" s="81"/>
      <c r="P50" s="84">
        <f t="shared" si="14"/>
        <v>400000</v>
      </c>
    </row>
    <row r="51" spans="1:19" ht="36.75" customHeight="1">
      <c r="A51" s="10" t="s">
        <v>118</v>
      </c>
      <c r="B51" s="10"/>
      <c r="C51" s="42" t="s">
        <v>119</v>
      </c>
      <c r="D51" s="96">
        <f>D52</f>
        <v>-350000</v>
      </c>
      <c r="E51" s="96">
        <f>E52</f>
        <v>-350000</v>
      </c>
      <c r="F51" s="96"/>
      <c r="G51" s="96"/>
      <c r="H51" s="96"/>
      <c r="I51" s="96">
        <f>I52</f>
        <v>0</v>
      </c>
      <c r="J51" s="96">
        <f>J52</f>
        <v>0</v>
      </c>
      <c r="K51" s="97">
        <f>K52</f>
        <v>0</v>
      </c>
      <c r="L51" s="96"/>
      <c r="M51" s="96"/>
      <c r="N51" s="96"/>
      <c r="O51" s="96">
        <f>O52</f>
        <v>0</v>
      </c>
      <c r="P51" s="96">
        <f>D51+I51</f>
        <v>-350000</v>
      </c>
    </row>
    <row r="52" spans="1:19" ht="60.75">
      <c r="A52" s="9" t="s">
        <v>120</v>
      </c>
      <c r="B52" s="9" t="s">
        <v>59</v>
      </c>
      <c r="C52" s="43" t="s">
        <v>121</v>
      </c>
      <c r="D52" s="96">
        <f>E52+H52</f>
        <v>-350000</v>
      </c>
      <c r="E52" s="96">
        <v>-350000</v>
      </c>
      <c r="F52" s="96"/>
      <c r="G52" s="96"/>
      <c r="H52" s="96"/>
      <c r="I52" s="96"/>
      <c r="J52" s="96"/>
      <c r="K52" s="97"/>
      <c r="L52" s="96"/>
      <c r="M52" s="96"/>
      <c r="N52" s="96"/>
      <c r="O52" s="96"/>
      <c r="P52" s="102">
        <f>D52</f>
        <v>-350000</v>
      </c>
    </row>
    <row r="53" spans="1:19" ht="21" customHeight="1">
      <c r="A53" s="15" t="s">
        <v>46</v>
      </c>
      <c r="B53" s="10"/>
      <c r="C53" s="16" t="s">
        <v>8</v>
      </c>
      <c r="D53" s="80">
        <f>D54+D59</f>
        <v>1144750</v>
      </c>
      <c r="E53" s="80">
        <f t="shared" ref="E53:O53" si="15">E54+E59</f>
        <v>1144750</v>
      </c>
      <c r="F53" s="80">
        <f t="shared" si="15"/>
        <v>0</v>
      </c>
      <c r="G53" s="80">
        <f t="shared" si="15"/>
        <v>0</v>
      </c>
      <c r="H53" s="80">
        <f t="shared" si="15"/>
        <v>0</v>
      </c>
      <c r="I53" s="80">
        <f t="shared" si="15"/>
        <v>20029691.52</v>
      </c>
      <c r="J53" s="80">
        <f t="shared" si="15"/>
        <v>20029691.52</v>
      </c>
      <c r="K53" s="80">
        <f t="shared" si="15"/>
        <v>15578476.32</v>
      </c>
      <c r="L53" s="80">
        <f t="shared" si="15"/>
        <v>0</v>
      </c>
      <c r="M53" s="80">
        <f t="shared" si="15"/>
        <v>0</v>
      </c>
      <c r="N53" s="80">
        <f t="shared" si="15"/>
        <v>0</v>
      </c>
      <c r="O53" s="80">
        <f t="shared" si="15"/>
        <v>20029691.52</v>
      </c>
      <c r="P53" s="80">
        <f t="shared" si="2"/>
        <v>21174441.52</v>
      </c>
    </row>
    <row r="54" spans="1:19" s="44" customFormat="1" ht="53.25" customHeight="1">
      <c r="A54" s="30" t="s">
        <v>47</v>
      </c>
      <c r="B54" s="30"/>
      <c r="C54" s="18" t="s">
        <v>226</v>
      </c>
      <c r="D54" s="80">
        <f>D55+D56+D58</f>
        <v>-1620170</v>
      </c>
      <c r="E54" s="80">
        <f>E55+E56+E58</f>
        <v>-1620170</v>
      </c>
      <c r="F54" s="80">
        <f t="shared" ref="F54:H54" si="16">F55+F56+F58</f>
        <v>0</v>
      </c>
      <c r="G54" s="80">
        <f t="shared" si="16"/>
        <v>0</v>
      </c>
      <c r="H54" s="80">
        <f t="shared" si="16"/>
        <v>0</v>
      </c>
      <c r="I54" s="80">
        <f>I55+I56+I57+I58</f>
        <v>10713058.32</v>
      </c>
      <c r="J54" s="80">
        <f t="shared" ref="J54:O54" si="17">J55+J56+J57+J58</f>
        <v>10713058.32</v>
      </c>
      <c r="K54" s="80">
        <f t="shared" si="17"/>
        <v>9588008.3200000003</v>
      </c>
      <c r="L54" s="80">
        <f t="shared" si="17"/>
        <v>0</v>
      </c>
      <c r="M54" s="80">
        <f t="shared" si="17"/>
        <v>0</v>
      </c>
      <c r="N54" s="80">
        <f t="shared" si="17"/>
        <v>0</v>
      </c>
      <c r="O54" s="80">
        <f t="shared" si="17"/>
        <v>10713058.32</v>
      </c>
      <c r="P54" s="80">
        <f>D54+I54</f>
        <v>9092888.3200000003</v>
      </c>
      <c r="R54" s="70"/>
      <c r="S54" s="70"/>
    </row>
    <row r="55" spans="1:19" ht="32.25">
      <c r="A55" s="9" t="s">
        <v>167</v>
      </c>
      <c r="B55" s="9" t="s">
        <v>203</v>
      </c>
      <c r="C55" s="8" t="s">
        <v>227</v>
      </c>
      <c r="D55" s="87">
        <f>E55+H55</f>
        <v>409030</v>
      </c>
      <c r="E55" s="87">
        <f>344030+65000</f>
        <v>409030</v>
      </c>
      <c r="F55" s="87"/>
      <c r="G55" s="87"/>
      <c r="H55" s="87"/>
      <c r="I55" s="87">
        <f t="shared" ref="I55:I58" si="18">O55+L55</f>
        <v>8253858.3200000003</v>
      </c>
      <c r="J55" s="87">
        <f>7133758.32+1000100+120000</f>
        <v>8253858.3200000003</v>
      </c>
      <c r="K55" s="88">
        <f>6008758.32+1000100-50+120000</f>
        <v>7128808.3200000003</v>
      </c>
      <c r="L55" s="87"/>
      <c r="M55" s="87"/>
      <c r="N55" s="87"/>
      <c r="O55" s="87">
        <f>7133758.32+1000100+120000</f>
        <v>8253858.3200000003</v>
      </c>
      <c r="P55" s="87">
        <f>D55+I55</f>
        <v>8662888.3200000003</v>
      </c>
    </row>
    <row r="56" spans="1:19" ht="49.5" customHeight="1">
      <c r="A56" s="9" t="s">
        <v>171</v>
      </c>
      <c r="B56" s="9" t="s">
        <v>49</v>
      </c>
      <c r="C56" s="25" t="s">
        <v>170</v>
      </c>
      <c r="D56" s="87">
        <f>E56+H56</f>
        <v>-2129200</v>
      </c>
      <c r="E56" s="87">
        <v>-2129200</v>
      </c>
      <c r="F56" s="87"/>
      <c r="G56" s="87"/>
      <c r="H56" s="87"/>
      <c r="I56" s="87">
        <f t="shared" si="18"/>
        <v>2129200</v>
      </c>
      <c r="J56" s="87">
        <v>2129200</v>
      </c>
      <c r="K56" s="88">
        <v>2129200</v>
      </c>
      <c r="L56" s="87"/>
      <c r="M56" s="87"/>
      <c r="N56" s="87"/>
      <c r="O56" s="87">
        <v>2129200</v>
      </c>
      <c r="P56" s="87">
        <f t="shared" ref="P56:P59" si="19">D56+I56</f>
        <v>0</v>
      </c>
    </row>
    <row r="57" spans="1:19" ht="49.5" customHeight="1">
      <c r="A57" s="9" t="s">
        <v>201</v>
      </c>
      <c r="B57" s="9" t="s">
        <v>49</v>
      </c>
      <c r="C57" s="8" t="s">
        <v>202</v>
      </c>
      <c r="D57" s="87"/>
      <c r="E57" s="87"/>
      <c r="F57" s="87"/>
      <c r="G57" s="87"/>
      <c r="H57" s="87"/>
      <c r="I57" s="87">
        <f t="shared" si="18"/>
        <v>180000</v>
      </c>
      <c r="J57" s="87">
        <v>180000</v>
      </c>
      <c r="K57" s="88">
        <v>180000</v>
      </c>
      <c r="L57" s="87"/>
      <c r="M57" s="87"/>
      <c r="N57" s="87"/>
      <c r="O57" s="87">
        <v>180000</v>
      </c>
      <c r="P57" s="87">
        <f t="shared" si="19"/>
        <v>180000</v>
      </c>
    </row>
    <row r="58" spans="1:19" s="28" customFormat="1" ht="46.5" customHeight="1">
      <c r="A58" s="9" t="s">
        <v>267</v>
      </c>
      <c r="B58" s="9" t="s">
        <v>49</v>
      </c>
      <c r="C58" s="8" t="s">
        <v>268</v>
      </c>
      <c r="D58" s="87">
        <f>E58+H58</f>
        <v>100000</v>
      </c>
      <c r="E58" s="87">
        <v>100000</v>
      </c>
      <c r="F58" s="87"/>
      <c r="G58" s="87"/>
      <c r="H58" s="87"/>
      <c r="I58" s="87">
        <f t="shared" si="18"/>
        <v>150000</v>
      </c>
      <c r="J58" s="87">
        <f>150000</f>
        <v>150000</v>
      </c>
      <c r="K58" s="88">
        <f>150000</f>
        <v>150000</v>
      </c>
      <c r="L58" s="87"/>
      <c r="M58" s="87"/>
      <c r="N58" s="87"/>
      <c r="O58" s="87">
        <f>150000</f>
        <v>150000</v>
      </c>
      <c r="P58" s="87">
        <f t="shared" si="19"/>
        <v>250000</v>
      </c>
      <c r="R58" s="23"/>
      <c r="S58" s="23"/>
    </row>
    <row r="59" spans="1:19" s="44" customFormat="1" ht="18.75">
      <c r="A59" s="30" t="s">
        <v>48</v>
      </c>
      <c r="B59" s="30" t="s">
        <v>49</v>
      </c>
      <c r="C59" s="79" t="s">
        <v>159</v>
      </c>
      <c r="D59" s="83">
        <f>E59+H59</f>
        <v>2764920</v>
      </c>
      <c r="E59" s="83">
        <f>2714920+50000</f>
        <v>2764920</v>
      </c>
      <c r="F59" s="83"/>
      <c r="G59" s="83"/>
      <c r="H59" s="83"/>
      <c r="I59" s="83">
        <f>O59</f>
        <v>9316633.1999999993</v>
      </c>
      <c r="J59" s="83">
        <f>8866633.2+300000+150000</f>
        <v>9316633.1999999993</v>
      </c>
      <c r="K59" s="89">
        <f>5540468+300000+150000</f>
        <v>5990468</v>
      </c>
      <c r="L59" s="83"/>
      <c r="M59" s="83"/>
      <c r="N59" s="83"/>
      <c r="O59" s="83">
        <f>8866633.2+300000+150000</f>
        <v>9316633.1999999993</v>
      </c>
      <c r="P59" s="80">
        <f t="shared" si="19"/>
        <v>12081553.199999999</v>
      </c>
      <c r="R59" s="70"/>
      <c r="S59" s="70"/>
    </row>
    <row r="60" spans="1:19" s="14" customFormat="1" ht="25.5" customHeight="1">
      <c r="A60" s="15" t="s">
        <v>155</v>
      </c>
      <c r="B60" s="10"/>
      <c r="C60" s="16" t="s">
        <v>156</v>
      </c>
      <c r="D60" s="80">
        <f t="shared" ref="D60:O60" si="20">D61+D63+D66+D70</f>
        <v>338974</v>
      </c>
      <c r="E60" s="80">
        <f t="shared" si="20"/>
        <v>90000</v>
      </c>
      <c r="F60" s="80">
        <f t="shared" si="20"/>
        <v>0</v>
      </c>
      <c r="G60" s="80">
        <f t="shared" si="20"/>
        <v>0</v>
      </c>
      <c r="H60" s="80">
        <f t="shared" si="20"/>
        <v>248974</v>
      </c>
      <c r="I60" s="80">
        <f t="shared" si="20"/>
        <v>16122886.949999999</v>
      </c>
      <c r="J60" s="80">
        <f t="shared" si="20"/>
        <v>9900215.8900000006</v>
      </c>
      <c r="K60" s="80">
        <f t="shared" si="20"/>
        <v>6063931.8899999997</v>
      </c>
      <c r="L60" s="80">
        <f t="shared" si="20"/>
        <v>44000</v>
      </c>
      <c r="M60" s="80">
        <f t="shared" si="20"/>
        <v>0</v>
      </c>
      <c r="N60" s="80">
        <f t="shared" si="20"/>
        <v>0</v>
      </c>
      <c r="O60" s="80">
        <f t="shared" si="20"/>
        <v>16078886.949999999</v>
      </c>
      <c r="P60" s="83">
        <f>D60+I60</f>
        <v>16461860.949999999</v>
      </c>
      <c r="R60" s="71"/>
      <c r="S60" s="71"/>
    </row>
    <row r="61" spans="1:19" s="17" customFormat="1" ht="30">
      <c r="A61" s="15" t="s">
        <v>153</v>
      </c>
      <c r="B61" s="15"/>
      <c r="C61" s="39" t="s">
        <v>258</v>
      </c>
      <c r="D61" s="83">
        <f>D62</f>
        <v>80000</v>
      </c>
      <c r="E61" s="83">
        <f>E62</f>
        <v>0</v>
      </c>
      <c r="F61" s="83"/>
      <c r="G61" s="83"/>
      <c r="H61" s="83">
        <f>H62</f>
        <v>80000</v>
      </c>
      <c r="I61" s="83">
        <f>L61+O61</f>
        <v>100140</v>
      </c>
      <c r="J61" s="83">
        <f t="shared" ref="J61:O61" si="21">J62</f>
        <v>100140</v>
      </c>
      <c r="K61" s="89">
        <f t="shared" si="21"/>
        <v>100140</v>
      </c>
      <c r="L61" s="83">
        <f t="shared" si="21"/>
        <v>0</v>
      </c>
      <c r="M61" s="83">
        <f t="shared" si="21"/>
        <v>0</v>
      </c>
      <c r="N61" s="83">
        <f t="shared" si="21"/>
        <v>0</v>
      </c>
      <c r="O61" s="83">
        <f t="shared" si="21"/>
        <v>100140</v>
      </c>
      <c r="P61" s="83">
        <f>D61+I61</f>
        <v>180140</v>
      </c>
      <c r="R61" s="59"/>
      <c r="S61" s="59"/>
    </row>
    <row r="62" spans="1:19" s="7" customFormat="1" ht="18.75">
      <c r="A62" s="10" t="s">
        <v>175</v>
      </c>
      <c r="B62" s="10" t="s">
        <v>122</v>
      </c>
      <c r="C62" s="35" t="s">
        <v>154</v>
      </c>
      <c r="D62" s="90">
        <f>E62+H62</f>
        <v>80000</v>
      </c>
      <c r="E62" s="90"/>
      <c r="F62" s="90"/>
      <c r="G62" s="90"/>
      <c r="H62" s="90">
        <v>80000</v>
      </c>
      <c r="I62" s="90">
        <f>L62+O62</f>
        <v>100140</v>
      </c>
      <c r="J62" s="90">
        <f>100140</f>
        <v>100140</v>
      </c>
      <c r="K62" s="91">
        <f>100140</f>
        <v>100140</v>
      </c>
      <c r="L62" s="90"/>
      <c r="M62" s="90"/>
      <c r="N62" s="90"/>
      <c r="O62" s="90">
        <f>100140</f>
        <v>100140</v>
      </c>
      <c r="P62" s="90">
        <f>D62+I62</f>
        <v>180140</v>
      </c>
      <c r="R62" s="60"/>
      <c r="S62" s="60"/>
    </row>
    <row r="63" spans="1:19" ht="24.75" customHeight="1">
      <c r="A63" s="15" t="s">
        <v>123</v>
      </c>
      <c r="B63" s="10"/>
      <c r="C63" s="16" t="s">
        <v>157</v>
      </c>
      <c r="D63" s="80">
        <f>D64+D65</f>
        <v>258974</v>
      </c>
      <c r="E63" s="80">
        <f t="shared" ref="E63:O63" si="22">E64+E65</f>
        <v>90000</v>
      </c>
      <c r="F63" s="80">
        <f t="shared" si="22"/>
        <v>0</v>
      </c>
      <c r="G63" s="80">
        <f t="shared" si="22"/>
        <v>0</v>
      </c>
      <c r="H63" s="80">
        <f t="shared" si="22"/>
        <v>168974</v>
      </c>
      <c r="I63" s="80">
        <f t="shared" si="22"/>
        <v>2919056.5999999996</v>
      </c>
      <c r="J63" s="80">
        <f t="shared" si="22"/>
        <v>2919056.5999999996</v>
      </c>
      <c r="K63" s="80">
        <f t="shared" si="22"/>
        <v>919056.59999999963</v>
      </c>
      <c r="L63" s="80">
        <f t="shared" si="22"/>
        <v>0</v>
      </c>
      <c r="M63" s="80">
        <f t="shared" si="22"/>
        <v>0</v>
      </c>
      <c r="N63" s="80">
        <f t="shared" si="22"/>
        <v>0</v>
      </c>
      <c r="O63" s="80">
        <f t="shared" si="22"/>
        <v>2919056.5999999996</v>
      </c>
      <c r="P63" s="80">
        <f>D63+I63</f>
        <v>3178030.5999999996</v>
      </c>
    </row>
    <row r="64" spans="1:19" ht="32.25">
      <c r="A64" s="10" t="s">
        <v>211</v>
      </c>
      <c r="B64" s="10" t="s">
        <v>62</v>
      </c>
      <c r="C64" s="21" t="s">
        <v>257</v>
      </c>
      <c r="D64" s="81">
        <f>E64+H64</f>
        <v>258974</v>
      </c>
      <c r="E64" s="81">
        <v>90000</v>
      </c>
      <c r="F64" s="81"/>
      <c r="G64" s="81"/>
      <c r="H64" s="81">
        <v>168974</v>
      </c>
      <c r="I64" s="81">
        <f>O64</f>
        <v>0</v>
      </c>
      <c r="J64" s="81"/>
      <c r="K64" s="82"/>
      <c r="L64" s="81"/>
      <c r="M64" s="81"/>
      <c r="N64" s="81"/>
      <c r="O64" s="81"/>
      <c r="P64" s="81">
        <f t="shared" ref="P64:P83" si="23">D64+I64</f>
        <v>258974</v>
      </c>
    </row>
    <row r="65" spans="1:19" s="13" customFormat="1" ht="32.25">
      <c r="A65" s="10" t="s">
        <v>234</v>
      </c>
      <c r="B65" s="10" t="s">
        <v>61</v>
      </c>
      <c r="C65" s="20" t="s">
        <v>176</v>
      </c>
      <c r="D65" s="90"/>
      <c r="E65" s="90"/>
      <c r="F65" s="90"/>
      <c r="G65" s="90"/>
      <c r="H65" s="90"/>
      <c r="I65" s="81">
        <f>O65</f>
        <v>2919056.5999999996</v>
      </c>
      <c r="J65" s="81">
        <f>1000220+5200000+2000000+8836.6-5180000-110000</f>
        <v>2919056.5999999996</v>
      </c>
      <c r="K65" s="82">
        <f>1000220+5200000+8836.6-5180000-110000</f>
        <v>919056.59999999963</v>
      </c>
      <c r="L65" s="90"/>
      <c r="M65" s="90"/>
      <c r="N65" s="90"/>
      <c r="O65" s="81">
        <f>1000220+5200000+2000000+8836.6-5180000-110000</f>
        <v>2919056.5999999996</v>
      </c>
      <c r="P65" s="81">
        <f t="shared" si="23"/>
        <v>2919056.5999999996</v>
      </c>
      <c r="R65" s="61"/>
      <c r="S65" s="61"/>
    </row>
    <row r="66" spans="1:19" ht="30">
      <c r="A66" s="15" t="s">
        <v>66</v>
      </c>
      <c r="B66" s="10"/>
      <c r="C66" s="16" t="s">
        <v>147</v>
      </c>
      <c r="D66" s="80">
        <f>D67</f>
        <v>0</v>
      </c>
      <c r="E66" s="80">
        <f>E67</f>
        <v>0</v>
      </c>
      <c r="F66" s="80"/>
      <c r="G66" s="80"/>
      <c r="H66" s="80"/>
      <c r="I66" s="80">
        <f>I67</f>
        <v>2090000</v>
      </c>
      <c r="J66" s="80">
        <f t="shared" ref="J66:O66" si="24">J67</f>
        <v>1947395.29</v>
      </c>
      <c r="K66" s="80">
        <f t="shared" si="24"/>
        <v>1947395.29</v>
      </c>
      <c r="L66" s="80">
        <f t="shared" si="24"/>
        <v>44000</v>
      </c>
      <c r="M66" s="80">
        <f t="shared" si="24"/>
        <v>0</v>
      </c>
      <c r="N66" s="80">
        <f t="shared" si="24"/>
        <v>0</v>
      </c>
      <c r="O66" s="80">
        <f t="shared" si="24"/>
        <v>2046000</v>
      </c>
      <c r="P66" s="80">
        <f t="shared" si="23"/>
        <v>2090000</v>
      </c>
    </row>
    <row r="67" spans="1:19" ht="30.75">
      <c r="A67" s="10" t="s">
        <v>148</v>
      </c>
      <c r="B67" s="10"/>
      <c r="C67" s="24" t="s">
        <v>149</v>
      </c>
      <c r="D67" s="81">
        <f>D68</f>
        <v>0</v>
      </c>
      <c r="E67" s="81">
        <f>E68+E69</f>
        <v>0</v>
      </c>
      <c r="F67" s="81"/>
      <c r="G67" s="81"/>
      <c r="H67" s="81"/>
      <c r="I67" s="81">
        <f>L67+O67</f>
        <v>2090000</v>
      </c>
      <c r="J67" s="81">
        <f>J68+J69</f>
        <v>1947395.29</v>
      </c>
      <c r="K67" s="81">
        <f t="shared" ref="K67:O67" si="25">K68+K69</f>
        <v>1947395.29</v>
      </c>
      <c r="L67" s="81">
        <f t="shared" si="25"/>
        <v>44000</v>
      </c>
      <c r="M67" s="81">
        <f t="shared" si="25"/>
        <v>0</v>
      </c>
      <c r="N67" s="81">
        <f t="shared" si="25"/>
        <v>0</v>
      </c>
      <c r="O67" s="81">
        <f t="shared" si="25"/>
        <v>2046000</v>
      </c>
      <c r="P67" s="84">
        <f t="shared" si="23"/>
        <v>2090000</v>
      </c>
    </row>
    <row r="68" spans="1:19" s="13" customFormat="1" ht="48">
      <c r="A68" s="9" t="s">
        <v>151</v>
      </c>
      <c r="B68" s="9" t="s">
        <v>65</v>
      </c>
      <c r="C68" s="8" t="s">
        <v>292</v>
      </c>
      <c r="D68" s="90">
        <f>E68+H68</f>
        <v>0</v>
      </c>
      <c r="E68" s="90"/>
      <c r="F68" s="90"/>
      <c r="G68" s="90"/>
      <c r="H68" s="90"/>
      <c r="I68" s="90">
        <f>L68+O68</f>
        <v>1090000</v>
      </c>
      <c r="J68" s="90">
        <f>316000-68604.71+700000</f>
        <v>947395.29</v>
      </c>
      <c r="K68" s="91">
        <f>316000-68604.71+700000</f>
        <v>947395.29</v>
      </c>
      <c r="L68" s="90">
        <v>44000</v>
      </c>
      <c r="M68" s="90"/>
      <c r="N68" s="90"/>
      <c r="O68" s="90">
        <f>316000+30000+700000</f>
        <v>1046000</v>
      </c>
      <c r="P68" s="90">
        <f t="shared" si="23"/>
        <v>1090000</v>
      </c>
      <c r="R68" s="61"/>
      <c r="S68" s="61"/>
    </row>
    <row r="69" spans="1:19" s="13" customFormat="1" ht="48">
      <c r="A69" s="9" t="s">
        <v>291</v>
      </c>
      <c r="B69" s="9" t="s">
        <v>65</v>
      </c>
      <c r="C69" s="8" t="s">
        <v>293</v>
      </c>
      <c r="D69" s="90"/>
      <c r="E69" s="90"/>
      <c r="F69" s="90"/>
      <c r="G69" s="90"/>
      <c r="H69" s="90"/>
      <c r="I69" s="90">
        <f>L69+O69</f>
        <v>1000000</v>
      </c>
      <c r="J69" s="90">
        <v>1000000</v>
      </c>
      <c r="K69" s="91">
        <v>1000000</v>
      </c>
      <c r="L69" s="90"/>
      <c r="M69" s="90"/>
      <c r="N69" s="90"/>
      <c r="O69" s="90">
        <v>1000000</v>
      </c>
      <c r="P69" s="90">
        <f t="shared" si="23"/>
        <v>1000000</v>
      </c>
      <c r="R69" s="61"/>
      <c r="S69" s="61"/>
    </row>
    <row r="70" spans="1:19" ht="32.25">
      <c r="A70" s="15" t="s">
        <v>177</v>
      </c>
      <c r="B70" s="9"/>
      <c r="C70" s="27" t="s">
        <v>178</v>
      </c>
      <c r="D70" s="80">
        <f>D71+D72</f>
        <v>0</v>
      </c>
      <c r="E70" s="80">
        <f t="shared" ref="E70:H70" si="26">E71+E72</f>
        <v>0</v>
      </c>
      <c r="F70" s="80">
        <f t="shared" si="26"/>
        <v>0</v>
      </c>
      <c r="G70" s="80">
        <f t="shared" si="26"/>
        <v>0</v>
      </c>
      <c r="H70" s="80">
        <f t="shared" si="26"/>
        <v>0</v>
      </c>
      <c r="I70" s="80">
        <f>I71+I72</f>
        <v>11013690.35</v>
      </c>
      <c r="J70" s="80">
        <f>J71+J72</f>
        <v>4933624</v>
      </c>
      <c r="K70" s="80">
        <f t="shared" ref="K70:O70" si="27">K71+K72</f>
        <v>3097340</v>
      </c>
      <c r="L70" s="80">
        <f t="shared" si="27"/>
        <v>0</v>
      </c>
      <c r="M70" s="80">
        <f t="shared" si="27"/>
        <v>0</v>
      </c>
      <c r="N70" s="80">
        <f t="shared" si="27"/>
        <v>0</v>
      </c>
      <c r="O70" s="80">
        <f t="shared" si="27"/>
        <v>11013690.35</v>
      </c>
      <c r="P70" s="83">
        <f>D70+I70</f>
        <v>11013690.35</v>
      </c>
    </row>
    <row r="71" spans="1:19" ht="18.75">
      <c r="A71" s="10" t="s">
        <v>179</v>
      </c>
      <c r="B71" s="10" t="s">
        <v>67</v>
      </c>
      <c r="C71" s="6" t="s">
        <v>68</v>
      </c>
      <c r="D71" s="81">
        <f>E71+H71</f>
        <v>0</v>
      </c>
      <c r="E71" s="81"/>
      <c r="F71" s="81"/>
      <c r="G71" s="81"/>
      <c r="H71" s="81"/>
      <c r="I71" s="81">
        <f>O71+L71</f>
        <v>4933624</v>
      </c>
      <c r="J71" s="81">
        <f>4903624+30000</f>
        <v>4933624</v>
      </c>
      <c r="K71" s="82">
        <f>3067340+30000</f>
        <v>3097340</v>
      </c>
      <c r="L71" s="81"/>
      <c r="M71" s="81"/>
      <c r="N71" s="81"/>
      <c r="O71" s="81">
        <f>4903624+30000</f>
        <v>4933624</v>
      </c>
      <c r="P71" s="81">
        <f t="shared" si="23"/>
        <v>4933624</v>
      </c>
    </row>
    <row r="72" spans="1:19" ht="126.75">
      <c r="A72" s="10" t="s">
        <v>272</v>
      </c>
      <c r="B72" s="10" t="s">
        <v>61</v>
      </c>
      <c r="C72" s="6" t="s">
        <v>273</v>
      </c>
      <c r="D72" s="81"/>
      <c r="E72" s="81"/>
      <c r="F72" s="81"/>
      <c r="G72" s="81"/>
      <c r="H72" s="81"/>
      <c r="I72" s="81">
        <f>O72+L72</f>
        <v>6080066.3499999996</v>
      </c>
      <c r="J72" s="81"/>
      <c r="K72" s="82"/>
      <c r="L72" s="81"/>
      <c r="M72" s="81"/>
      <c r="N72" s="81"/>
      <c r="O72" s="81">
        <f>5999387.5+80678.85</f>
        <v>6080066.3499999996</v>
      </c>
      <c r="P72" s="81">
        <f t="shared" si="23"/>
        <v>6080066.3499999996</v>
      </c>
    </row>
    <row r="73" spans="1:19" s="44" customFormat="1" ht="18.75">
      <c r="A73" s="30" t="s">
        <v>72</v>
      </c>
      <c r="B73" s="30"/>
      <c r="C73" s="18" t="s">
        <v>152</v>
      </c>
      <c r="D73" s="80">
        <f>D74+D76+D79</f>
        <v>2300000</v>
      </c>
      <c r="E73" s="80">
        <f t="shared" ref="E73:O73" si="28">E74+E76+E79</f>
        <v>2300000</v>
      </c>
      <c r="F73" s="80">
        <f t="shared" si="28"/>
        <v>0</v>
      </c>
      <c r="G73" s="80">
        <f t="shared" si="28"/>
        <v>0</v>
      </c>
      <c r="H73" s="80">
        <f t="shared" si="28"/>
        <v>0</v>
      </c>
      <c r="I73" s="80">
        <f t="shared" si="28"/>
        <v>6421000</v>
      </c>
      <c r="J73" s="80">
        <f t="shared" si="28"/>
        <v>5000000</v>
      </c>
      <c r="K73" s="80">
        <f t="shared" si="28"/>
        <v>5000000</v>
      </c>
      <c r="L73" s="80">
        <f t="shared" si="28"/>
        <v>242000</v>
      </c>
      <c r="M73" s="80">
        <f t="shared" si="28"/>
        <v>0</v>
      </c>
      <c r="N73" s="80">
        <f t="shared" si="28"/>
        <v>0</v>
      </c>
      <c r="O73" s="80">
        <f t="shared" si="28"/>
        <v>6179000</v>
      </c>
      <c r="P73" s="80">
        <f>I73+D73</f>
        <v>8721000</v>
      </c>
      <c r="R73" s="70"/>
      <c r="S73" s="70"/>
    </row>
    <row r="74" spans="1:19" s="44" customFormat="1" ht="18.75">
      <c r="A74" s="30" t="s">
        <v>315</v>
      </c>
      <c r="B74" s="30"/>
      <c r="C74" s="18" t="s">
        <v>316</v>
      </c>
      <c r="D74" s="80">
        <f>D75</f>
        <v>2300000</v>
      </c>
      <c r="E74" s="80">
        <f t="shared" ref="E74:O74" si="29">E75</f>
        <v>2300000</v>
      </c>
      <c r="F74" s="80">
        <f t="shared" si="29"/>
        <v>0</v>
      </c>
      <c r="G74" s="80">
        <f t="shared" si="29"/>
        <v>0</v>
      </c>
      <c r="H74" s="80">
        <f t="shared" si="29"/>
        <v>0</v>
      </c>
      <c r="I74" s="80">
        <f t="shared" si="29"/>
        <v>0</v>
      </c>
      <c r="J74" s="80">
        <f t="shared" si="29"/>
        <v>0</v>
      </c>
      <c r="K74" s="80">
        <f t="shared" si="29"/>
        <v>0</v>
      </c>
      <c r="L74" s="80">
        <f t="shared" si="29"/>
        <v>0</v>
      </c>
      <c r="M74" s="80">
        <f t="shared" si="29"/>
        <v>0</v>
      </c>
      <c r="N74" s="80">
        <f t="shared" si="29"/>
        <v>0</v>
      </c>
      <c r="O74" s="80">
        <f t="shared" si="29"/>
        <v>0</v>
      </c>
      <c r="P74" s="80">
        <f>D74+I74</f>
        <v>2300000</v>
      </c>
      <c r="R74" s="70"/>
      <c r="S74" s="70"/>
    </row>
    <row r="75" spans="1:19" s="22" customFormat="1" ht="32.25">
      <c r="A75" s="31" t="s">
        <v>326</v>
      </c>
      <c r="B75" s="31" t="s">
        <v>318</v>
      </c>
      <c r="C75" s="6" t="s">
        <v>327</v>
      </c>
      <c r="D75" s="81">
        <f>E75+H75</f>
        <v>2300000</v>
      </c>
      <c r="E75" s="81">
        <v>2300000</v>
      </c>
      <c r="F75" s="81"/>
      <c r="G75" s="81"/>
      <c r="H75" s="81"/>
      <c r="I75" s="81">
        <f>L75+O75</f>
        <v>0</v>
      </c>
      <c r="J75" s="81"/>
      <c r="K75" s="81"/>
      <c r="L75" s="81"/>
      <c r="M75" s="81"/>
      <c r="N75" s="81"/>
      <c r="O75" s="81"/>
      <c r="P75" s="81">
        <f>D75+I75</f>
        <v>2300000</v>
      </c>
      <c r="R75" s="23"/>
      <c r="S75" s="23"/>
    </row>
    <row r="76" spans="1:19" s="22" customFormat="1" ht="32.25">
      <c r="A76" s="30" t="s">
        <v>182</v>
      </c>
      <c r="B76" s="31"/>
      <c r="C76" s="18" t="s">
        <v>183</v>
      </c>
      <c r="D76" s="83">
        <f>D78</f>
        <v>0</v>
      </c>
      <c r="E76" s="83">
        <f t="shared" ref="E76:H76" si="30">E78</f>
        <v>0</v>
      </c>
      <c r="F76" s="83">
        <f t="shared" si="30"/>
        <v>0</v>
      </c>
      <c r="G76" s="83">
        <f t="shared" si="30"/>
        <v>0</v>
      </c>
      <c r="H76" s="83">
        <f t="shared" si="30"/>
        <v>0</v>
      </c>
      <c r="I76" s="83">
        <f>I77+I78</f>
        <v>6421000</v>
      </c>
      <c r="J76" s="83">
        <f t="shared" ref="J76:O76" si="31">J77+J78</f>
        <v>5000000</v>
      </c>
      <c r="K76" s="83">
        <f t="shared" si="31"/>
        <v>5000000</v>
      </c>
      <c r="L76" s="83">
        <f t="shared" si="31"/>
        <v>242000</v>
      </c>
      <c r="M76" s="83">
        <f t="shared" si="31"/>
        <v>0</v>
      </c>
      <c r="N76" s="83">
        <f t="shared" si="31"/>
        <v>0</v>
      </c>
      <c r="O76" s="83">
        <f t="shared" si="31"/>
        <v>6179000</v>
      </c>
      <c r="P76" s="83">
        <f t="shared" si="23"/>
        <v>6421000</v>
      </c>
      <c r="R76" s="23"/>
      <c r="S76" s="23"/>
    </row>
    <row r="77" spans="1:19" ht="32.25">
      <c r="A77" s="10" t="s">
        <v>206</v>
      </c>
      <c r="B77" s="10" t="s">
        <v>207</v>
      </c>
      <c r="C77" s="21" t="s">
        <v>208</v>
      </c>
      <c r="D77" s="107"/>
      <c r="E77" s="107"/>
      <c r="F77" s="107"/>
      <c r="G77" s="107"/>
      <c r="H77" s="107"/>
      <c r="I77" s="107">
        <f>L77+O77</f>
        <v>5000000</v>
      </c>
      <c r="J77" s="107">
        <v>5000000</v>
      </c>
      <c r="K77" s="108">
        <v>5000000</v>
      </c>
      <c r="L77" s="107"/>
      <c r="M77" s="107"/>
      <c r="N77" s="107"/>
      <c r="O77" s="107">
        <v>5000000</v>
      </c>
      <c r="P77" s="107">
        <f t="shared" si="23"/>
        <v>5000000</v>
      </c>
    </row>
    <row r="78" spans="1:19" ht="32.25">
      <c r="A78" s="10" t="s">
        <v>209</v>
      </c>
      <c r="B78" s="10" t="s">
        <v>70</v>
      </c>
      <c r="C78" s="6" t="s">
        <v>210</v>
      </c>
      <c r="D78" s="84"/>
      <c r="E78" s="84"/>
      <c r="F78" s="84"/>
      <c r="G78" s="84"/>
      <c r="H78" s="84"/>
      <c r="I78" s="84">
        <f>L78+O78</f>
        <v>1421000</v>
      </c>
      <c r="J78" s="84"/>
      <c r="K78" s="85"/>
      <c r="L78" s="84">
        <f>140000+102000</f>
        <v>242000</v>
      </c>
      <c r="M78" s="84"/>
      <c r="N78" s="84"/>
      <c r="O78" s="84">
        <f>300000+400000+200000+279000</f>
        <v>1179000</v>
      </c>
      <c r="P78" s="84">
        <f t="shared" si="23"/>
        <v>1421000</v>
      </c>
    </row>
    <row r="79" spans="1:19" ht="18.75">
      <c r="A79" s="15" t="s">
        <v>187</v>
      </c>
      <c r="B79" s="15" t="s">
        <v>71</v>
      </c>
      <c r="C79" s="34" t="s">
        <v>11</v>
      </c>
      <c r="D79" s="80"/>
      <c r="E79" s="80"/>
      <c r="F79" s="80"/>
      <c r="G79" s="80"/>
      <c r="H79" s="80"/>
      <c r="I79" s="80">
        <f>L79+O79</f>
        <v>0</v>
      </c>
      <c r="J79" s="81"/>
      <c r="K79" s="82"/>
      <c r="L79" s="81"/>
      <c r="M79" s="81"/>
      <c r="N79" s="81"/>
      <c r="O79" s="81"/>
      <c r="P79" s="80">
        <f t="shared" si="23"/>
        <v>0</v>
      </c>
    </row>
    <row r="80" spans="1:19" ht="18.75">
      <c r="A80" s="15" t="s">
        <v>188</v>
      </c>
      <c r="B80" s="10"/>
      <c r="C80" s="16" t="s">
        <v>189</v>
      </c>
      <c r="D80" s="80">
        <f>D81+D83+D84</f>
        <v>3393475</v>
      </c>
      <c r="E80" s="80">
        <f>E81+E83+E84</f>
        <v>3393475</v>
      </c>
      <c r="F80" s="80">
        <f t="shared" ref="F80:O80" si="32">F81+F83+F84</f>
        <v>0</v>
      </c>
      <c r="G80" s="80">
        <f t="shared" si="32"/>
        <v>0</v>
      </c>
      <c r="H80" s="80">
        <f t="shared" si="32"/>
        <v>0</v>
      </c>
      <c r="I80" s="80">
        <f t="shared" si="32"/>
        <v>3569050</v>
      </c>
      <c r="J80" s="80">
        <f t="shared" si="32"/>
        <v>3569050</v>
      </c>
      <c r="K80" s="80">
        <f>K81+K83+K84</f>
        <v>2213300</v>
      </c>
      <c r="L80" s="80">
        <f t="shared" si="32"/>
        <v>0</v>
      </c>
      <c r="M80" s="80">
        <f t="shared" si="32"/>
        <v>0</v>
      </c>
      <c r="N80" s="80">
        <f t="shared" si="32"/>
        <v>0</v>
      </c>
      <c r="O80" s="80">
        <f t="shared" si="32"/>
        <v>3569050</v>
      </c>
      <c r="P80" s="80">
        <f t="shared" si="23"/>
        <v>6962525</v>
      </c>
    </row>
    <row r="81" spans="1:19" ht="18.75" hidden="1">
      <c r="A81" s="10" t="s">
        <v>69</v>
      </c>
      <c r="B81" s="10"/>
      <c r="C81" s="24" t="s">
        <v>260</v>
      </c>
      <c r="D81" s="81">
        <f>D82</f>
        <v>0</v>
      </c>
      <c r="E81" s="81"/>
      <c r="F81" s="81"/>
      <c r="G81" s="81"/>
      <c r="H81" s="81"/>
      <c r="I81" s="81">
        <f>L81+O81</f>
        <v>0</v>
      </c>
      <c r="J81" s="81"/>
      <c r="K81" s="82"/>
      <c r="L81" s="81"/>
      <c r="M81" s="81"/>
      <c r="N81" s="81"/>
      <c r="O81" s="81"/>
      <c r="P81" s="81">
        <f t="shared" si="23"/>
        <v>0</v>
      </c>
    </row>
    <row r="82" spans="1:19" ht="26.25" hidden="1" customHeight="1">
      <c r="A82" s="10" t="s">
        <v>190</v>
      </c>
      <c r="B82" s="10" t="s">
        <v>16</v>
      </c>
      <c r="C82" s="52" t="s">
        <v>191</v>
      </c>
      <c r="D82" s="81">
        <f>E82+H82</f>
        <v>0</v>
      </c>
      <c r="E82" s="81"/>
      <c r="F82" s="81"/>
      <c r="G82" s="81"/>
      <c r="H82" s="81"/>
      <c r="I82" s="81">
        <f>L82+O82</f>
        <v>0</v>
      </c>
      <c r="J82" s="81"/>
      <c r="K82" s="82"/>
      <c r="L82" s="81"/>
      <c r="M82" s="81"/>
      <c r="N82" s="81"/>
      <c r="O82" s="81"/>
      <c r="P82" s="81">
        <f t="shared" si="23"/>
        <v>0</v>
      </c>
    </row>
    <row r="83" spans="1:19" s="48" customFormat="1" ht="18.75">
      <c r="A83" s="15" t="s">
        <v>274</v>
      </c>
      <c r="B83" s="15" t="s">
        <v>16</v>
      </c>
      <c r="C83" s="63" t="s">
        <v>275</v>
      </c>
      <c r="D83" s="80"/>
      <c r="E83" s="80"/>
      <c r="F83" s="80"/>
      <c r="G83" s="80"/>
      <c r="H83" s="80"/>
      <c r="I83" s="80">
        <f>O83</f>
        <v>-700000</v>
      </c>
      <c r="J83" s="80">
        <v>-700000</v>
      </c>
      <c r="K83" s="86">
        <v>-700000</v>
      </c>
      <c r="L83" s="80"/>
      <c r="M83" s="80"/>
      <c r="N83" s="80"/>
      <c r="O83" s="80">
        <v>-700000</v>
      </c>
      <c r="P83" s="80">
        <f t="shared" si="23"/>
        <v>-700000</v>
      </c>
      <c r="R83" s="70"/>
      <c r="S83" s="70"/>
    </row>
    <row r="84" spans="1:19" s="48" customFormat="1" ht="63.75">
      <c r="A84" s="15" t="s">
        <v>269</v>
      </c>
      <c r="B84" s="15" t="s">
        <v>16</v>
      </c>
      <c r="C84" s="27" t="s">
        <v>270</v>
      </c>
      <c r="D84" s="80">
        <f>E84+H84</f>
        <v>3393475</v>
      </c>
      <c r="E84" s="80">
        <v>3393475</v>
      </c>
      <c r="F84" s="80"/>
      <c r="G84" s="80"/>
      <c r="H84" s="80"/>
      <c r="I84" s="80">
        <f>L84+O84</f>
        <v>4269050</v>
      </c>
      <c r="J84" s="80">
        <f>4269050</f>
        <v>4269050</v>
      </c>
      <c r="K84" s="86">
        <f>4269050-1355000-750</f>
        <v>2913300</v>
      </c>
      <c r="L84" s="80"/>
      <c r="M84" s="80"/>
      <c r="N84" s="80"/>
      <c r="O84" s="80">
        <f>4269050</f>
        <v>4269050</v>
      </c>
      <c r="P84" s="80">
        <f>D84+I84</f>
        <v>7662525</v>
      </c>
      <c r="R84" s="70"/>
      <c r="S84" s="70"/>
    </row>
    <row r="85" spans="1:19" ht="26.25" customHeight="1">
      <c r="A85" s="10"/>
      <c r="B85" s="10"/>
      <c r="C85" s="16" t="s">
        <v>4</v>
      </c>
      <c r="D85" s="80">
        <f>E85+H85</f>
        <v>6838799.2000000002</v>
      </c>
      <c r="E85" s="80">
        <f t="shared" ref="E85:O85" si="33">E14+E18+E28+E31+E44+E48+E53+E60+E73+E80</f>
        <v>6589825.2000000002</v>
      </c>
      <c r="F85" s="80">
        <f t="shared" si="33"/>
        <v>-300000</v>
      </c>
      <c r="G85" s="80">
        <f t="shared" si="33"/>
        <v>-700000</v>
      </c>
      <c r="H85" s="80">
        <f>H14+H18+H28+H31+H44+H48+H53+H60+H73+H80</f>
        <v>248974</v>
      </c>
      <c r="I85" s="80">
        <f t="shared" si="33"/>
        <v>38725502.859999999</v>
      </c>
      <c r="J85" s="80">
        <f t="shared" si="33"/>
        <v>31081831.800000001</v>
      </c>
      <c r="K85" s="80">
        <f t="shared" si="33"/>
        <v>29618022.210000001</v>
      </c>
      <c r="L85" s="80">
        <f t="shared" si="33"/>
        <v>286000</v>
      </c>
      <c r="M85" s="80">
        <f t="shared" si="33"/>
        <v>0</v>
      </c>
      <c r="N85" s="80">
        <f t="shared" si="33"/>
        <v>0</v>
      </c>
      <c r="O85" s="80">
        <f t="shared" si="33"/>
        <v>38439502.859999999</v>
      </c>
      <c r="P85" s="80">
        <f>D85+I85</f>
        <v>45564302.060000002</v>
      </c>
    </row>
    <row r="86" spans="1:19">
      <c r="A86" s="56"/>
      <c r="B86" s="56"/>
      <c r="C86" s="57"/>
      <c r="D86" s="58"/>
      <c r="E86" s="58"/>
      <c r="F86" s="58"/>
      <c r="G86" s="58"/>
      <c r="H86" s="58"/>
      <c r="I86" s="58"/>
      <c r="J86" s="58"/>
      <c r="K86" s="68"/>
      <c r="L86" s="58"/>
      <c r="M86" s="58"/>
      <c r="N86" s="58"/>
      <c r="O86" s="58"/>
      <c r="P86" s="58"/>
    </row>
    <row r="87" spans="1:19" ht="20.25">
      <c r="A87" s="56"/>
      <c r="B87" s="56"/>
      <c r="C87" s="57"/>
      <c r="D87" s="137" t="s">
        <v>334</v>
      </c>
      <c r="E87" s="58"/>
      <c r="F87" s="58"/>
      <c r="G87" s="58"/>
      <c r="H87" s="58"/>
      <c r="I87" s="58"/>
      <c r="J87" s="137" t="s">
        <v>335</v>
      </c>
      <c r="K87" s="68"/>
      <c r="L87" s="58"/>
      <c r="M87" s="58"/>
      <c r="N87" s="58"/>
      <c r="O87" s="58"/>
      <c r="P87" s="58"/>
    </row>
    <row r="88" spans="1:19">
      <c r="A88" s="56"/>
      <c r="B88" s="56"/>
      <c r="C88" s="72"/>
      <c r="D88" s="58"/>
      <c r="E88" s="58"/>
      <c r="F88" s="58"/>
      <c r="G88" s="58"/>
      <c r="H88" s="58"/>
      <c r="I88" s="58"/>
      <c r="J88" s="58"/>
      <c r="K88" s="68"/>
      <c r="L88" s="58"/>
      <c r="M88" s="58"/>
      <c r="N88" s="58"/>
      <c r="O88" s="58"/>
      <c r="P88" s="58"/>
    </row>
    <row r="92" spans="1:19" s="77" customFormat="1" ht="18.75">
      <c r="A92" s="74"/>
      <c r="B92" s="74"/>
      <c r="C92" s="75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R92" s="78"/>
      <c r="S92" s="78"/>
    </row>
    <row r="93" spans="1:19" s="77" customFormat="1" ht="18.75">
      <c r="A93" s="74"/>
      <c r="B93" s="74"/>
      <c r="C93" s="75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R93" s="78"/>
      <c r="S93" s="78"/>
    </row>
  </sheetData>
  <mergeCells count="21">
    <mergeCell ref="A7:P7"/>
    <mergeCell ref="A9:A12"/>
    <mergeCell ref="B9:B12"/>
    <mergeCell ref="C9:C12"/>
    <mergeCell ref="D9:H9"/>
    <mergeCell ref="I9:O9"/>
    <mergeCell ref="P9:P12"/>
    <mergeCell ref="D10:D12"/>
    <mergeCell ref="E10:E12"/>
    <mergeCell ref="F10:G10"/>
    <mergeCell ref="O10:O12"/>
    <mergeCell ref="F11:F12"/>
    <mergeCell ref="G11:G12"/>
    <mergeCell ref="M11:M12"/>
    <mergeCell ref="N11:N12"/>
    <mergeCell ref="H10:H12"/>
    <mergeCell ref="I10:I12"/>
    <mergeCell ref="J10:J12"/>
    <mergeCell ref="K10:K12"/>
    <mergeCell ref="L10:L12"/>
    <mergeCell ref="M10:N10"/>
  </mergeCells>
  <pageMargins left="0.15748031496062992" right="0.15748031496062992" top="0.15748031496062992" bottom="0.11811023622047245" header="0.15748031496062992" footer="0.11811023622047245"/>
  <pageSetup paperSize="9" scale="49" fitToHeight="11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64"/>
  <sheetViews>
    <sheetView view="pageBreakPreview" zoomScale="60" zoomScaleNormal="70" workbookViewId="0">
      <pane ySplit="15" topLeftCell="A91" activePane="bottomLeft" state="frozen"/>
      <selection pane="bottomLeft" activeCell="A105" sqref="A105:XFD106"/>
    </sheetView>
  </sheetViews>
  <sheetFormatPr defaultRowHeight="15.75"/>
  <cols>
    <col min="1" max="1" width="11.42578125" style="2" bestFit="1" customWidth="1"/>
    <col min="2" max="2" width="11.85546875" style="2" customWidth="1"/>
    <col min="3" max="3" width="48" style="3" customWidth="1"/>
    <col min="4" max="4" width="20.7109375" style="1" customWidth="1"/>
    <col min="5" max="5" width="23" style="1" customWidth="1"/>
    <col min="6" max="6" width="21" style="1" customWidth="1"/>
    <col min="7" max="7" width="18.85546875" style="1" customWidth="1"/>
    <col min="8" max="8" width="15.7109375" style="1" customWidth="1"/>
    <col min="9" max="9" width="19.7109375" style="1" customWidth="1"/>
    <col min="10" max="10" width="20.7109375" style="1" customWidth="1"/>
    <col min="11" max="11" width="19.42578125" style="66" hidden="1" customWidth="1"/>
    <col min="12" max="12" width="19" style="1" customWidth="1"/>
    <col min="13" max="13" width="14.85546875" style="1" customWidth="1"/>
    <col min="14" max="14" width="14.140625" style="1" customWidth="1"/>
    <col min="15" max="15" width="20.7109375" style="1" customWidth="1"/>
    <col min="16" max="16" width="24.42578125" style="1" customWidth="1"/>
    <col min="17" max="17" width="13.28515625" style="1" bestFit="1" customWidth="1"/>
    <col min="18" max="19" width="18.42578125" style="53" customWidth="1"/>
    <col min="20" max="16384" width="9.140625" style="1"/>
  </cols>
  <sheetData>
    <row r="1" spans="1:16">
      <c r="A1" s="55"/>
      <c r="O1" s="4" t="s">
        <v>290</v>
      </c>
      <c r="P1" s="47"/>
    </row>
    <row r="2" spans="1:16">
      <c r="A2" s="54"/>
      <c r="O2" s="92" t="s">
        <v>295</v>
      </c>
      <c r="P2" s="65"/>
    </row>
    <row r="3" spans="1:16">
      <c r="A3" s="54"/>
      <c r="O3" s="92" t="s">
        <v>287</v>
      </c>
      <c r="P3" s="65"/>
    </row>
    <row r="4" spans="1:16">
      <c r="A4" s="54"/>
      <c r="O4" s="92" t="s">
        <v>296</v>
      </c>
      <c r="P4" s="65"/>
    </row>
    <row r="5" spans="1:16">
      <c r="A5" s="54"/>
      <c r="O5" s="92" t="s">
        <v>344</v>
      </c>
      <c r="P5" s="65"/>
    </row>
    <row r="6" spans="1:16">
      <c r="A6" s="54"/>
      <c r="O6" s="92" t="s">
        <v>345</v>
      </c>
      <c r="P6" s="65"/>
    </row>
    <row r="7" spans="1:16">
      <c r="A7" s="54"/>
      <c r="O7" s="92" t="s">
        <v>346</v>
      </c>
      <c r="P7" s="65"/>
    </row>
    <row r="8" spans="1:16" ht="20.25">
      <c r="A8" s="171" t="s">
        <v>297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</row>
    <row r="9" spans="1:16" ht="20.25">
      <c r="A9" s="171" t="s">
        <v>271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</row>
    <row r="10" spans="1:16">
      <c r="P10" s="64" t="s">
        <v>289</v>
      </c>
    </row>
    <row r="11" spans="1:16" ht="15" customHeight="1">
      <c r="A11" s="170" t="s">
        <v>280</v>
      </c>
      <c r="B11" s="170" t="s">
        <v>281</v>
      </c>
      <c r="C11" s="170" t="s">
        <v>282</v>
      </c>
      <c r="D11" s="172" t="s">
        <v>0</v>
      </c>
      <c r="E11" s="173"/>
      <c r="F11" s="173"/>
      <c r="G11" s="173"/>
      <c r="H11" s="174"/>
      <c r="I11" s="170" t="s">
        <v>3</v>
      </c>
      <c r="J11" s="170"/>
      <c r="K11" s="170"/>
      <c r="L11" s="170"/>
      <c r="M11" s="170"/>
      <c r="N11" s="170"/>
      <c r="O11" s="170"/>
      <c r="P11" s="175" t="s">
        <v>4</v>
      </c>
    </row>
    <row r="12" spans="1:16">
      <c r="A12" s="170"/>
      <c r="B12" s="170"/>
      <c r="C12" s="170"/>
      <c r="D12" s="170" t="s">
        <v>283</v>
      </c>
      <c r="E12" s="176" t="s">
        <v>278</v>
      </c>
      <c r="F12" s="170" t="s">
        <v>1</v>
      </c>
      <c r="G12" s="170"/>
      <c r="H12" s="176" t="s">
        <v>279</v>
      </c>
      <c r="I12" s="170" t="s">
        <v>283</v>
      </c>
      <c r="J12" s="176" t="s">
        <v>284</v>
      </c>
      <c r="K12" s="179" t="s">
        <v>286</v>
      </c>
      <c r="L12" s="170" t="s">
        <v>278</v>
      </c>
      <c r="M12" s="170" t="s">
        <v>1</v>
      </c>
      <c r="N12" s="170"/>
      <c r="O12" s="170" t="s">
        <v>285</v>
      </c>
      <c r="P12" s="175"/>
    </row>
    <row r="13" spans="1:16">
      <c r="A13" s="170"/>
      <c r="B13" s="170"/>
      <c r="C13" s="170"/>
      <c r="D13" s="170"/>
      <c r="E13" s="177"/>
      <c r="F13" s="170" t="s">
        <v>10</v>
      </c>
      <c r="G13" s="170" t="s">
        <v>2</v>
      </c>
      <c r="H13" s="177"/>
      <c r="I13" s="170"/>
      <c r="J13" s="177"/>
      <c r="K13" s="180"/>
      <c r="L13" s="170"/>
      <c r="M13" s="170" t="s">
        <v>10</v>
      </c>
      <c r="N13" s="170" t="s">
        <v>2</v>
      </c>
      <c r="O13" s="170"/>
      <c r="P13" s="175"/>
    </row>
    <row r="14" spans="1:16" ht="138.75" customHeight="1">
      <c r="A14" s="170"/>
      <c r="B14" s="170"/>
      <c r="C14" s="170"/>
      <c r="D14" s="170"/>
      <c r="E14" s="178"/>
      <c r="F14" s="170"/>
      <c r="G14" s="170"/>
      <c r="H14" s="178"/>
      <c r="I14" s="170"/>
      <c r="J14" s="178"/>
      <c r="K14" s="181"/>
      <c r="L14" s="170"/>
      <c r="M14" s="170"/>
      <c r="N14" s="170"/>
      <c r="O14" s="170"/>
      <c r="P14" s="175"/>
    </row>
    <row r="15" spans="1:16">
      <c r="A15" s="5">
        <v>1</v>
      </c>
      <c r="B15" s="5">
        <v>2</v>
      </c>
      <c r="C15" s="138">
        <v>3</v>
      </c>
      <c r="D15" s="138">
        <v>4</v>
      </c>
      <c r="E15" s="138">
        <v>5</v>
      </c>
      <c r="F15" s="138">
        <v>6</v>
      </c>
      <c r="G15" s="138">
        <v>7</v>
      </c>
      <c r="H15" s="138">
        <v>8</v>
      </c>
      <c r="I15" s="138">
        <v>9</v>
      </c>
      <c r="J15" s="138">
        <v>10</v>
      </c>
      <c r="K15" s="67"/>
      <c r="L15" s="138">
        <v>11</v>
      </c>
      <c r="M15" s="138">
        <v>12</v>
      </c>
      <c r="N15" s="138">
        <v>13</v>
      </c>
      <c r="O15" s="138">
        <v>14</v>
      </c>
      <c r="P15" s="138" t="s">
        <v>288</v>
      </c>
    </row>
    <row r="16" spans="1:16" ht="18.75">
      <c r="A16" s="15" t="s">
        <v>15</v>
      </c>
      <c r="B16" s="10"/>
      <c r="C16" s="16" t="s">
        <v>5</v>
      </c>
      <c r="D16" s="80">
        <f>D17+D18+D19+D20</f>
        <v>63767800</v>
      </c>
      <c r="E16" s="80">
        <f>E17+E18+E19+E20</f>
        <v>63767800</v>
      </c>
      <c r="F16" s="80">
        <f>F17+F18+F19+F20</f>
        <v>51904200</v>
      </c>
      <c r="G16" s="80">
        <f>G17+G18+G19+G20</f>
        <v>2807030</v>
      </c>
      <c r="H16" s="80"/>
      <c r="I16" s="80">
        <f>L16+O16</f>
        <v>6943002</v>
      </c>
      <c r="J16" s="80">
        <f>J17+J18+J20</f>
        <v>6780002</v>
      </c>
      <c r="K16" s="86">
        <f>K17+K18+K20</f>
        <v>4352400</v>
      </c>
      <c r="L16" s="80">
        <f>L17+L18+L19+L20</f>
        <v>163000</v>
      </c>
      <c r="M16" s="80"/>
      <c r="N16" s="80"/>
      <c r="O16" s="80">
        <f>O17+O18+O20</f>
        <v>6780002</v>
      </c>
      <c r="P16" s="80">
        <f>D16+I16</f>
        <v>70710802</v>
      </c>
    </row>
    <row r="17" spans="1:19" ht="75.75">
      <c r="A17" s="10" t="s">
        <v>126</v>
      </c>
      <c r="B17" s="10" t="s">
        <v>17</v>
      </c>
      <c r="C17" s="35" t="s">
        <v>125</v>
      </c>
      <c r="D17" s="81">
        <f>E17+H17</f>
        <v>37701400</v>
      </c>
      <c r="E17" s="81">
        <f>1662100+1139600+1389700+31134000+2381000-5000-200000-20000-50000-80000+350000</f>
        <v>37701400</v>
      </c>
      <c r="F17" s="81">
        <f>1296100+997500+1162500+25024000+2381000</f>
        <v>30861100</v>
      </c>
      <c r="G17" s="81">
        <f>106100+34800+63800+2255400</f>
        <v>2460100</v>
      </c>
      <c r="H17" s="81"/>
      <c r="I17" s="81">
        <f>L17+O17</f>
        <v>1728500</v>
      </c>
      <c r="J17" s="81">
        <f>1587500-22000</f>
        <v>1565500</v>
      </c>
      <c r="K17" s="82">
        <f>1587500-22000</f>
        <v>1565500</v>
      </c>
      <c r="L17" s="81">
        <f>18000+145000</f>
        <v>163000</v>
      </c>
      <c r="M17" s="81"/>
      <c r="N17" s="81"/>
      <c r="O17" s="81">
        <f>1587500-22000</f>
        <v>1565500</v>
      </c>
      <c r="P17" s="81">
        <f>D17+I17</f>
        <v>39429900</v>
      </c>
    </row>
    <row r="18" spans="1:19" ht="45.75">
      <c r="A18" s="10" t="s">
        <v>128</v>
      </c>
      <c r="B18" s="10" t="s">
        <v>17</v>
      </c>
      <c r="C18" s="36" t="s">
        <v>253</v>
      </c>
      <c r="D18" s="81">
        <f>E18+H18</f>
        <v>23109700</v>
      </c>
      <c r="E18" s="81">
        <f>490700+1849200+9174300+1379000+1650500+1668400+2122000+3087100+1619000+1500+5000+2400+60600-248700-196000-85800-150000-100000-20000+800500</f>
        <v>23109700</v>
      </c>
      <c r="F18" s="81">
        <f>480100+1795000+8285700+1095000+1422600+1589600+1924900+2831200+1619000</f>
        <v>21043100</v>
      </c>
      <c r="G18" s="81">
        <v>346930</v>
      </c>
      <c r="H18" s="81"/>
      <c r="I18" s="81">
        <f>L18+O18</f>
        <v>131000</v>
      </c>
      <c r="J18" s="81">
        <f>32000+10000+10000+15000+12000+30000+22000</f>
        <v>131000</v>
      </c>
      <c r="K18" s="82">
        <f>32000+10000+10000+15000+12000+30000+22000</f>
        <v>131000</v>
      </c>
      <c r="L18" s="81"/>
      <c r="M18" s="81"/>
      <c r="N18" s="81"/>
      <c r="O18" s="81">
        <f>32000+10000+10000+15000+12000+30000+22000</f>
        <v>131000</v>
      </c>
      <c r="P18" s="81">
        <f>D18+I18</f>
        <v>23240700</v>
      </c>
    </row>
    <row r="19" spans="1:19" ht="30.75">
      <c r="A19" s="10" t="s">
        <v>172</v>
      </c>
      <c r="B19" s="10" t="s">
        <v>173</v>
      </c>
      <c r="C19" s="36" t="s">
        <v>174</v>
      </c>
      <c r="D19" s="81">
        <f>E19+H19</f>
        <v>26000</v>
      </c>
      <c r="E19" s="81">
        <f>20000+6000</f>
        <v>26000</v>
      </c>
      <c r="F19" s="81"/>
      <c r="G19" s="81"/>
      <c r="H19" s="81"/>
      <c r="I19" s="81"/>
      <c r="J19" s="81"/>
      <c r="K19" s="82"/>
      <c r="L19" s="81"/>
      <c r="M19" s="81"/>
      <c r="N19" s="81"/>
      <c r="O19" s="81"/>
      <c r="P19" s="81">
        <f t="shared" ref="P19:P109" si="0">D19+I19</f>
        <v>26000</v>
      </c>
    </row>
    <row r="20" spans="1:19" ht="18.75">
      <c r="A20" s="10" t="s">
        <v>16</v>
      </c>
      <c r="B20" s="10" t="s">
        <v>71</v>
      </c>
      <c r="C20" s="33" t="s">
        <v>184</v>
      </c>
      <c r="D20" s="81">
        <f>E20+H20</f>
        <v>2930700</v>
      </c>
      <c r="E20" s="81">
        <f>10000+2625500+27400+100500+10000000-5000000-100000-60600-422100-800000-3550000+1800000+2300000-4000000</f>
        <v>2930700</v>
      </c>
      <c r="F20" s="81"/>
      <c r="G20" s="81"/>
      <c r="H20" s="81"/>
      <c r="I20" s="81">
        <f>L20+O20</f>
        <v>5083502</v>
      </c>
      <c r="J20" s="81">
        <f>10000000-6000000+3480900-1625000-200000-3000000+11500000-9072398</f>
        <v>5083502</v>
      </c>
      <c r="K20" s="82">
        <f>10000000-6000000+3480900-1625000-200000-3000000</f>
        <v>2655900</v>
      </c>
      <c r="L20" s="81"/>
      <c r="M20" s="81"/>
      <c r="N20" s="81"/>
      <c r="O20" s="81">
        <f>10000000-6000000+3480900-1625000-200000-3000000+11500000-9072398</f>
        <v>5083502</v>
      </c>
      <c r="P20" s="81">
        <f t="shared" si="0"/>
        <v>8014202</v>
      </c>
    </row>
    <row r="21" spans="1:19" ht="18.75">
      <c r="A21" s="15" t="s">
        <v>18</v>
      </c>
      <c r="B21" s="10"/>
      <c r="C21" s="16" t="s">
        <v>6</v>
      </c>
      <c r="D21" s="80">
        <f>D22+D23+D26+D28+D31+D32+D33+D34+D35+D38</f>
        <v>264121642</v>
      </c>
      <c r="E21" s="80">
        <f>E22+E23+E26+E28+E31+E32+E33+E34+E35+E38</f>
        <v>264121642</v>
      </c>
      <c r="F21" s="80">
        <f t="shared" ref="F21:G21" si="1">F22+F23+F26+F28+F31+F32+F33+F34+F35+F38</f>
        <v>214181300</v>
      </c>
      <c r="G21" s="80">
        <f t="shared" si="1"/>
        <v>23770920</v>
      </c>
      <c r="H21" s="80"/>
      <c r="I21" s="80">
        <f>I22+I23+I26+I28+I31+I32+I33+I34+I35+I38</f>
        <v>34093473.390000001</v>
      </c>
      <c r="J21" s="80">
        <f t="shared" ref="J21:O21" si="2">J22+J23+J26+J28+J31+J32+J33+J34+J35+J38</f>
        <v>21822272.390000001</v>
      </c>
      <c r="K21" s="86">
        <f t="shared" si="2"/>
        <v>20929314</v>
      </c>
      <c r="L21" s="80">
        <f t="shared" si="2"/>
        <v>12191201</v>
      </c>
      <c r="M21" s="80">
        <f t="shared" si="2"/>
        <v>350000</v>
      </c>
      <c r="N21" s="80">
        <f t="shared" si="2"/>
        <v>0</v>
      </c>
      <c r="O21" s="80">
        <f t="shared" si="2"/>
        <v>21902272.390000001</v>
      </c>
      <c r="P21" s="80">
        <f>D21+I21</f>
        <v>298215115.38999999</v>
      </c>
    </row>
    <row r="22" spans="1:19" s="26" customFormat="1" ht="18.75">
      <c r="A22" s="10" t="s">
        <v>20</v>
      </c>
      <c r="B22" s="10" t="s">
        <v>19</v>
      </c>
      <c r="C22" s="24" t="s">
        <v>146</v>
      </c>
      <c r="D22" s="81">
        <f>E22+H22</f>
        <v>87874700</v>
      </c>
      <c r="E22" s="81">
        <f>83674700-50000+4000000+250000</f>
        <v>87874700</v>
      </c>
      <c r="F22" s="81">
        <f>59862300+4000000</f>
        <v>63862300</v>
      </c>
      <c r="G22" s="81">
        <f>10791420-700000</f>
        <v>10091420</v>
      </c>
      <c r="H22" s="81"/>
      <c r="I22" s="81">
        <f>L22+O22</f>
        <v>15763258.390000001</v>
      </c>
      <c r="J22" s="81">
        <f>1500000+1000000+2500000+22958.39</f>
        <v>5022958.3899999997</v>
      </c>
      <c r="K22" s="82">
        <f>1500000+1000000+2500000</f>
        <v>5000000</v>
      </c>
      <c r="L22" s="81">
        <v>10740300</v>
      </c>
      <c r="M22" s="81"/>
      <c r="N22" s="81"/>
      <c r="O22" s="81">
        <f>1500000+1000000+2500000+22958.39</f>
        <v>5022958.3899999997</v>
      </c>
      <c r="P22" s="81">
        <f>D22+I22</f>
        <v>103637958.39</v>
      </c>
      <c r="R22" s="62"/>
      <c r="S22" s="62"/>
    </row>
    <row r="23" spans="1:19" ht="75.75">
      <c r="A23" s="10" t="s">
        <v>21</v>
      </c>
      <c r="B23" s="10" t="s">
        <v>22</v>
      </c>
      <c r="C23" s="36" t="s">
        <v>23</v>
      </c>
      <c r="D23" s="81">
        <f>E23+H23</f>
        <v>128295842</v>
      </c>
      <c r="E23" s="81">
        <f>126092500+49300-50000+2204042</f>
        <v>128295842</v>
      </c>
      <c r="F23" s="81">
        <v>108591700</v>
      </c>
      <c r="G23" s="81">
        <v>11990110</v>
      </c>
      <c r="H23" s="81"/>
      <c r="I23" s="81">
        <f>L23+O23</f>
        <v>16209579</v>
      </c>
      <c r="J23" s="81">
        <f>3000000+2000000+10000000+774579</f>
        <v>15774579</v>
      </c>
      <c r="K23" s="82">
        <f>3000000+2000000+10000000-95421</f>
        <v>14904579</v>
      </c>
      <c r="L23" s="81">
        <v>435000</v>
      </c>
      <c r="M23" s="81">
        <f>100000+22000</f>
        <v>122000</v>
      </c>
      <c r="N23" s="81"/>
      <c r="O23" s="81">
        <f>3000000+2000000+10000000+774579</f>
        <v>15774579</v>
      </c>
      <c r="P23" s="81">
        <f>D23+I23</f>
        <v>144505421</v>
      </c>
      <c r="Q23" s="73"/>
    </row>
    <row r="24" spans="1:19" ht="18.75">
      <c r="A24" s="10"/>
      <c r="B24" s="10"/>
      <c r="C24" s="36" t="s">
        <v>276</v>
      </c>
      <c r="D24" s="81"/>
      <c r="E24" s="81"/>
      <c r="F24" s="81"/>
      <c r="G24" s="81"/>
      <c r="H24" s="81"/>
      <c r="I24" s="81"/>
      <c r="J24" s="81"/>
      <c r="K24" s="82"/>
      <c r="L24" s="81"/>
      <c r="M24" s="81"/>
      <c r="N24" s="81"/>
      <c r="O24" s="81"/>
      <c r="P24" s="81"/>
    </row>
    <row r="25" spans="1:19" s="103" customFormat="1" ht="45.75">
      <c r="A25" s="45"/>
      <c r="B25" s="45"/>
      <c r="C25" s="98" t="s">
        <v>277</v>
      </c>
      <c r="D25" s="155">
        <f>E25+H25</f>
        <v>90631400</v>
      </c>
      <c r="E25" s="155">
        <f>F25</f>
        <v>90631400</v>
      </c>
      <c r="F25" s="155">
        <v>90631400</v>
      </c>
      <c r="G25" s="155"/>
      <c r="H25" s="155"/>
      <c r="I25" s="156"/>
      <c r="J25" s="156"/>
      <c r="K25" s="157"/>
      <c r="L25" s="156"/>
      <c r="M25" s="156"/>
      <c r="N25" s="156"/>
      <c r="O25" s="156"/>
      <c r="P25" s="87">
        <f t="shared" si="0"/>
        <v>90631400</v>
      </c>
      <c r="R25" s="104"/>
      <c r="S25" s="104"/>
    </row>
    <row r="26" spans="1:19" ht="30.75">
      <c r="A26" s="10" t="s">
        <v>24</v>
      </c>
      <c r="B26" s="10" t="s">
        <v>22</v>
      </c>
      <c r="C26" s="36" t="s">
        <v>25</v>
      </c>
      <c r="D26" s="81">
        <f>E26+H26</f>
        <v>766500</v>
      </c>
      <c r="E26" s="81">
        <v>766500</v>
      </c>
      <c r="F26" s="81">
        <v>688400</v>
      </c>
      <c r="G26" s="81">
        <v>71240</v>
      </c>
      <c r="H26" s="81"/>
      <c r="I26" s="81"/>
      <c r="J26" s="81"/>
      <c r="K26" s="82"/>
      <c r="L26" s="81"/>
      <c r="M26" s="81"/>
      <c r="N26" s="81"/>
      <c r="O26" s="81"/>
      <c r="P26" s="81">
        <f t="shared" si="0"/>
        <v>766500</v>
      </c>
    </row>
    <row r="27" spans="1:19" ht="60.75">
      <c r="A27" s="10"/>
      <c r="B27" s="10"/>
      <c r="C27" s="37" t="s">
        <v>13</v>
      </c>
      <c r="D27" s="87">
        <f>E27+H27</f>
        <v>618900</v>
      </c>
      <c r="E27" s="87">
        <f>F27</f>
        <v>618900</v>
      </c>
      <c r="F27" s="87">
        <v>618900</v>
      </c>
      <c r="G27" s="87"/>
      <c r="H27" s="87"/>
      <c r="I27" s="87"/>
      <c r="J27" s="87"/>
      <c r="K27" s="88"/>
      <c r="L27" s="87"/>
      <c r="M27" s="87"/>
      <c r="N27" s="87"/>
      <c r="O27" s="87"/>
      <c r="P27" s="87">
        <f t="shared" si="0"/>
        <v>618900</v>
      </c>
    </row>
    <row r="28" spans="1:19" ht="75.75">
      <c r="A28" s="10" t="s">
        <v>64</v>
      </c>
      <c r="B28" s="10" t="s">
        <v>27</v>
      </c>
      <c r="C28" s="36" t="s">
        <v>111</v>
      </c>
      <c r="D28" s="81">
        <f>E28+H28</f>
        <v>10457600</v>
      </c>
      <c r="E28" s="81">
        <v>10457600</v>
      </c>
      <c r="F28" s="81">
        <v>9130300</v>
      </c>
      <c r="G28" s="81">
        <v>612320</v>
      </c>
      <c r="H28" s="81"/>
      <c r="I28" s="81">
        <f>L28+O28</f>
        <v>391735</v>
      </c>
      <c r="J28" s="81">
        <f>300000+61735</f>
        <v>361735</v>
      </c>
      <c r="K28" s="82">
        <f>300000+61735</f>
        <v>361735</v>
      </c>
      <c r="L28" s="81">
        <v>30000</v>
      </c>
      <c r="M28" s="81"/>
      <c r="N28" s="81"/>
      <c r="O28" s="81">
        <f>300000+61735</f>
        <v>361735</v>
      </c>
      <c r="P28" s="81">
        <f t="shared" si="0"/>
        <v>10849335</v>
      </c>
    </row>
    <row r="29" spans="1:19" ht="18.75">
      <c r="A29" s="10"/>
      <c r="B29" s="10"/>
      <c r="C29" s="36" t="s">
        <v>276</v>
      </c>
      <c r="D29" s="81"/>
      <c r="E29" s="81"/>
      <c r="F29" s="81"/>
      <c r="G29" s="81"/>
      <c r="H29" s="81"/>
      <c r="I29" s="81"/>
      <c r="J29" s="81"/>
      <c r="K29" s="82"/>
      <c r="L29" s="81"/>
      <c r="M29" s="81"/>
      <c r="N29" s="81"/>
      <c r="O29" s="81"/>
      <c r="P29" s="81"/>
    </row>
    <row r="30" spans="1:19" ht="45.75">
      <c r="A30" s="10"/>
      <c r="B30" s="10"/>
      <c r="C30" s="37" t="s">
        <v>277</v>
      </c>
      <c r="D30" s="87">
        <f>E30+H30</f>
        <v>8057500</v>
      </c>
      <c r="E30" s="87">
        <f>F30</f>
        <v>8057500</v>
      </c>
      <c r="F30" s="87">
        <v>8057500</v>
      </c>
      <c r="G30" s="81"/>
      <c r="H30" s="81"/>
      <c r="I30" s="81"/>
      <c r="J30" s="81"/>
      <c r="K30" s="82"/>
      <c r="L30" s="81"/>
      <c r="M30" s="81"/>
      <c r="N30" s="81"/>
      <c r="O30" s="81"/>
      <c r="P30" s="87">
        <f t="shared" si="0"/>
        <v>8057500</v>
      </c>
    </row>
    <row r="31" spans="1:19" ht="45.75">
      <c r="A31" s="10" t="s">
        <v>28</v>
      </c>
      <c r="B31" s="10" t="s">
        <v>29</v>
      </c>
      <c r="C31" s="36" t="s">
        <v>30</v>
      </c>
      <c r="D31" s="81">
        <f>E31+H31</f>
        <v>13396100</v>
      </c>
      <c r="E31" s="81">
        <f>13396100-50000+50000</f>
        <v>13396100</v>
      </c>
      <c r="F31" s="81">
        <v>10632000</v>
      </c>
      <c r="G31" s="81">
        <v>368380</v>
      </c>
      <c r="H31" s="81"/>
      <c r="I31" s="81">
        <f>L31+O31</f>
        <v>476400</v>
      </c>
      <c r="J31" s="81">
        <v>300000</v>
      </c>
      <c r="K31" s="82">
        <v>300000</v>
      </c>
      <c r="L31" s="81">
        <v>146400</v>
      </c>
      <c r="M31" s="81"/>
      <c r="N31" s="81"/>
      <c r="O31" s="81">
        <f>30000+300000</f>
        <v>330000</v>
      </c>
      <c r="P31" s="81">
        <f t="shared" si="0"/>
        <v>13872500</v>
      </c>
    </row>
    <row r="32" spans="1:19" ht="60.75">
      <c r="A32" s="10" t="s">
        <v>132</v>
      </c>
      <c r="B32" s="10" t="s">
        <v>29</v>
      </c>
      <c r="C32" s="36" t="s">
        <v>133</v>
      </c>
      <c r="D32" s="81">
        <f>E32+H32</f>
        <v>13961500</v>
      </c>
      <c r="E32" s="81">
        <f>13936500+25000-25000+25000</f>
        <v>13961500</v>
      </c>
      <c r="F32" s="81">
        <v>13388800</v>
      </c>
      <c r="G32" s="81">
        <v>341000</v>
      </c>
      <c r="H32" s="81"/>
      <c r="I32" s="81">
        <f>L32+O32</f>
        <v>889500</v>
      </c>
      <c r="J32" s="81"/>
      <c r="K32" s="82"/>
      <c r="L32" s="81">
        <v>839500</v>
      </c>
      <c r="M32" s="81">
        <f>186900+41100</f>
        <v>228000</v>
      </c>
      <c r="N32" s="81"/>
      <c r="O32" s="81">
        <v>50000</v>
      </c>
      <c r="P32" s="81">
        <f t="shared" si="0"/>
        <v>14851000</v>
      </c>
    </row>
    <row r="33" spans="1:19" ht="30.75">
      <c r="A33" s="10" t="s">
        <v>129</v>
      </c>
      <c r="B33" s="10" t="s">
        <v>32</v>
      </c>
      <c r="C33" s="24" t="s">
        <v>254</v>
      </c>
      <c r="D33" s="81">
        <f>E33+H33</f>
        <v>162400</v>
      </c>
      <c r="E33" s="81">
        <v>162400</v>
      </c>
      <c r="F33" s="81"/>
      <c r="G33" s="81"/>
      <c r="H33" s="81"/>
      <c r="I33" s="81"/>
      <c r="J33" s="81"/>
      <c r="K33" s="82"/>
      <c r="L33" s="81"/>
      <c r="M33" s="81"/>
      <c r="N33" s="81"/>
      <c r="O33" s="81"/>
      <c r="P33" s="81">
        <f t="shared" si="0"/>
        <v>162400</v>
      </c>
    </row>
    <row r="34" spans="1:19" ht="30.75">
      <c r="A34" s="10" t="s">
        <v>31</v>
      </c>
      <c r="B34" s="10" t="s">
        <v>33</v>
      </c>
      <c r="C34" s="38" t="s">
        <v>255</v>
      </c>
      <c r="D34" s="81">
        <f>E34+H34</f>
        <v>1823400</v>
      </c>
      <c r="E34" s="81">
        <v>1823400</v>
      </c>
      <c r="F34" s="81">
        <v>1513900</v>
      </c>
      <c r="G34" s="81">
        <v>26820</v>
      </c>
      <c r="H34" s="81"/>
      <c r="I34" s="81"/>
      <c r="J34" s="81"/>
      <c r="K34" s="82"/>
      <c r="L34" s="81"/>
      <c r="M34" s="81"/>
      <c r="N34" s="81"/>
      <c r="O34" s="81"/>
      <c r="P34" s="81">
        <f t="shared" si="0"/>
        <v>1823400</v>
      </c>
    </row>
    <row r="35" spans="1:19" ht="18.75">
      <c r="A35" s="10" t="s">
        <v>130</v>
      </c>
      <c r="B35" s="10"/>
      <c r="C35" s="36" t="s">
        <v>131</v>
      </c>
      <c r="D35" s="81">
        <f>D36+D37</f>
        <v>6369900</v>
      </c>
      <c r="E35" s="81">
        <f>E36+E37</f>
        <v>6369900</v>
      </c>
      <c r="F35" s="81">
        <f t="shared" ref="F35:L35" si="3">F36+F37</f>
        <v>5397100</v>
      </c>
      <c r="G35" s="81">
        <f t="shared" si="3"/>
        <v>269630</v>
      </c>
      <c r="H35" s="81"/>
      <c r="I35" s="81">
        <f t="shared" si="3"/>
        <v>1</v>
      </c>
      <c r="J35" s="81"/>
      <c r="K35" s="82"/>
      <c r="L35" s="81">
        <f t="shared" si="3"/>
        <v>1</v>
      </c>
      <c r="M35" s="81"/>
      <c r="N35" s="81"/>
      <c r="O35" s="81"/>
      <c r="P35" s="81">
        <f t="shared" si="0"/>
        <v>6369901</v>
      </c>
    </row>
    <row r="36" spans="1:19" s="13" customFormat="1" ht="33" customHeight="1">
      <c r="A36" s="9" t="s">
        <v>228</v>
      </c>
      <c r="B36" s="9" t="s">
        <v>33</v>
      </c>
      <c r="C36" s="46" t="s">
        <v>229</v>
      </c>
      <c r="D36" s="87">
        <f>E36+H36</f>
        <v>6339100</v>
      </c>
      <c r="E36" s="87">
        <f>7652800-1313700</f>
        <v>6339100</v>
      </c>
      <c r="F36" s="87">
        <f>6673900-1276800</f>
        <v>5397100</v>
      </c>
      <c r="G36" s="87">
        <v>269630</v>
      </c>
      <c r="H36" s="87"/>
      <c r="I36" s="87">
        <f>L36+O36</f>
        <v>1</v>
      </c>
      <c r="J36" s="87"/>
      <c r="K36" s="88"/>
      <c r="L36" s="87">
        <v>1</v>
      </c>
      <c r="M36" s="87"/>
      <c r="N36" s="87"/>
      <c r="O36" s="87"/>
      <c r="P36" s="87">
        <f t="shared" si="0"/>
        <v>6339101</v>
      </c>
      <c r="R36" s="61"/>
      <c r="S36" s="61"/>
    </row>
    <row r="37" spans="1:19" s="13" customFormat="1" ht="28.5" customHeight="1">
      <c r="A37" s="9" t="s">
        <v>261</v>
      </c>
      <c r="B37" s="9" t="s">
        <v>33</v>
      </c>
      <c r="C37" s="46" t="s">
        <v>262</v>
      </c>
      <c r="D37" s="87">
        <f>E37+H37</f>
        <v>30800</v>
      </c>
      <c r="E37" s="87">
        <v>30800</v>
      </c>
      <c r="F37" s="87"/>
      <c r="G37" s="87"/>
      <c r="H37" s="87"/>
      <c r="I37" s="87"/>
      <c r="J37" s="87"/>
      <c r="K37" s="88"/>
      <c r="L37" s="87"/>
      <c r="M37" s="87"/>
      <c r="N37" s="87"/>
      <c r="O37" s="87"/>
      <c r="P37" s="87">
        <f t="shared" si="0"/>
        <v>30800</v>
      </c>
      <c r="R37" s="61"/>
      <c r="S37" s="61"/>
    </row>
    <row r="38" spans="1:19" ht="34.5" customHeight="1">
      <c r="A38" s="10" t="s">
        <v>324</v>
      </c>
      <c r="B38" s="10" t="s">
        <v>33</v>
      </c>
      <c r="C38" s="36" t="s">
        <v>325</v>
      </c>
      <c r="D38" s="81">
        <f>E38+H38</f>
        <v>1013700</v>
      </c>
      <c r="E38" s="81">
        <v>1013700</v>
      </c>
      <c r="F38" s="81">
        <v>976800</v>
      </c>
      <c r="G38" s="81"/>
      <c r="H38" s="81"/>
      <c r="I38" s="81">
        <f t="shared" ref="I38" si="4">L38+O38</f>
        <v>363000</v>
      </c>
      <c r="J38" s="81">
        <v>363000</v>
      </c>
      <c r="K38" s="82">
        <v>363000</v>
      </c>
      <c r="L38" s="81"/>
      <c r="M38" s="81"/>
      <c r="N38" s="81"/>
      <c r="O38" s="81">
        <v>363000</v>
      </c>
      <c r="P38" s="81">
        <f t="shared" si="0"/>
        <v>1376700</v>
      </c>
    </row>
    <row r="39" spans="1:19" s="17" customFormat="1" ht="18.75">
      <c r="A39" s="15" t="s">
        <v>34</v>
      </c>
      <c r="B39" s="15"/>
      <c r="C39" s="39" t="s">
        <v>14</v>
      </c>
      <c r="D39" s="80">
        <f>D40+D44+D45</f>
        <v>115451914.2</v>
      </c>
      <c r="E39" s="80">
        <f>E40+E44+E45</f>
        <v>115451914.2</v>
      </c>
      <c r="F39" s="80"/>
      <c r="G39" s="80"/>
      <c r="H39" s="80"/>
      <c r="I39" s="80">
        <f>L39+O39</f>
        <v>22843200</v>
      </c>
      <c r="J39" s="80">
        <f t="shared" ref="J39:O39" si="5">J40+J44</f>
        <v>14420200</v>
      </c>
      <c r="K39" s="86">
        <f t="shared" si="5"/>
        <v>14420200</v>
      </c>
      <c r="L39" s="80">
        <f t="shared" si="5"/>
        <v>8423000</v>
      </c>
      <c r="M39" s="80">
        <f t="shared" si="5"/>
        <v>0</v>
      </c>
      <c r="N39" s="80">
        <f t="shared" si="5"/>
        <v>0</v>
      </c>
      <c r="O39" s="80">
        <f t="shared" si="5"/>
        <v>14420200</v>
      </c>
      <c r="P39" s="83">
        <f t="shared" si="0"/>
        <v>138295114.19999999</v>
      </c>
      <c r="R39" s="59"/>
      <c r="S39" s="59"/>
    </row>
    <row r="40" spans="1:19" ht="34.5" customHeight="1">
      <c r="A40" s="10" t="s">
        <v>35</v>
      </c>
      <c r="B40" s="10" t="s">
        <v>36</v>
      </c>
      <c r="C40" s="6" t="s">
        <v>37</v>
      </c>
      <c r="D40" s="84">
        <f>E40+H40</f>
        <v>102541114.2</v>
      </c>
      <c r="E40" s="84">
        <f>95964039+5422100-150000+389894+915081.2</f>
        <v>102541114.2</v>
      </c>
      <c r="F40" s="84"/>
      <c r="G40" s="84"/>
      <c r="H40" s="84"/>
      <c r="I40" s="84">
        <f>L40+O40</f>
        <v>18731700</v>
      </c>
      <c r="J40" s="84">
        <f>13237200+500000+100000</f>
        <v>13837200</v>
      </c>
      <c r="K40" s="85">
        <f>13237200+500000+100000</f>
        <v>13837200</v>
      </c>
      <c r="L40" s="84">
        <v>4894500</v>
      </c>
      <c r="M40" s="84"/>
      <c r="N40" s="84"/>
      <c r="O40" s="84">
        <f>13237200+500000+100000</f>
        <v>13837200</v>
      </c>
      <c r="P40" s="84">
        <f t="shared" si="0"/>
        <v>121272814.2</v>
      </c>
    </row>
    <row r="41" spans="1:19" s="22" customFormat="1" ht="18.75">
      <c r="A41" s="31"/>
      <c r="B41" s="31"/>
      <c r="C41" s="8" t="s">
        <v>298</v>
      </c>
      <c r="D41" s="90">
        <f>E41+H41</f>
        <v>53094900</v>
      </c>
      <c r="E41" s="90">
        <v>53094900</v>
      </c>
      <c r="F41" s="90"/>
      <c r="G41" s="84"/>
      <c r="H41" s="84"/>
      <c r="I41" s="90"/>
      <c r="J41" s="90"/>
      <c r="K41" s="91"/>
      <c r="L41" s="90"/>
      <c r="M41" s="90"/>
      <c r="N41" s="90"/>
      <c r="O41" s="90"/>
      <c r="P41" s="90">
        <f t="shared" si="0"/>
        <v>53094900</v>
      </c>
      <c r="R41" s="23"/>
      <c r="S41" s="23"/>
    </row>
    <row r="42" spans="1:19" s="113" customFormat="1" ht="94.5">
      <c r="A42" s="111"/>
      <c r="B42" s="111"/>
      <c r="C42" s="112" t="s">
        <v>299</v>
      </c>
      <c r="D42" s="90">
        <f>E42+H42</f>
        <v>389894</v>
      </c>
      <c r="E42" s="90">
        <v>389894</v>
      </c>
      <c r="F42" s="90"/>
      <c r="G42" s="90"/>
      <c r="H42" s="90"/>
      <c r="I42" s="90"/>
      <c r="J42" s="90"/>
      <c r="K42" s="91"/>
      <c r="L42" s="90"/>
      <c r="M42" s="90"/>
      <c r="N42" s="90"/>
      <c r="O42" s="90"/>
      <c r="P42" s="90">
        <f>D42+I42</f>
        <v>389894</v>
      </c>
      <c r="R42" s="114"/>
      <c r="S42" s="114"/>
    </row>
    <row r="43" spans="1:19" s="49" customFormat="1" ht="78.75">
      <c r="A43" s="9"/>
      <c r="B43" s="9"/>
      <c r="C43" s="112" t="s">
        <v>300</v>
      </c>
      <c r="D43" s="90">
        <f>E43+H43</f>
        <v>3243839</v>
      </c>
      <c r="E43" s="90">
        <v>3243839</v>
      </c>
      <c r="F43" s="90"/>
      <c r="G43" s="90"/>
      <c r="H43" s="90"/>
      <c r="I43" s="90"/>
      <c r="J43" s="90"/>
      <c r="K43" s="91"/>
      <c r="L43" s="90"/>
      <c r="M43" s="90"/>
      <c r="N43" s="90"/>
      <c r="O43" s="90"/>
      <c r="P43" s="90">
        <f>D43+I43</f>
        <v>3243839</v>
      </c>
      <c r="R43" s="114"/>
      <c r="S43" s="114"/>
    </row>
    <row r="44" spans="1:19" ht="19.5" customHeight="1">
      <c r="A44" s="10" t="s">
        <v>127</v>
      </c>
      <c r="B44" s="10" t="s">
        <v>38</v>
      </c>
      <c r="C44" s="6" t="s">
        <v>256</v>
      </c>
      <c r="D44" s="84">
        <f>E44+H44</f>
        <v>10976200</v>
      </c>
      <c r="E44" s="84">
        <f>10938200+38000</f>
        <v>10976200</v>
      </c>
      <c r="F44" s="84"/>
      <c r="G44" s="84"/>
      <c r="H44" s="84"/>
      <c r="I44" s="84">
        <f>L44+O44</f>
        <v>4111500</v>
      </c>
      <c r="J44" s="84">
        <f>550000+33000</f>
        <v>583000</v>
      </c>
      <c r="K44" s="85">
        <f>550000+33000</f>
        <v>583000</v>
      </c>
      <c r="L44" s="84">
        <v>3528500</v>
      </c>
      <c r="M44" s="84"/>
      <c r="N44" s="84"/>
      <c r="O44" s="84">
        <f>550000+33000</f>
        <v>583000</v>
      </c>
      <c r="P44" s="84">
        <f t="shared" si="0"/>
        <v>15087700</v>
      </c>
    </row>
    <row r="45" spans="1:19" ht="31.5" customHeight="1">
      <c r="A45" s="10" t="s">
        <v>215</v>
      </c>
      <c r="B45" s="10"/>
      <c r="C45" s="20" t="s">
        <v>214</v>
      </c>
      <c r="D45" s="84">
        <f>D46+D47</f>
        <v>1934600</v>
      </c>
      <c r="E45" s="84">
        <f>E46+E47</f>
        <v>1934600</v>
      </c>
      <c r="F45" s="84"/>
      <c r="G45" s="84"/>
      <c r="H45" s="84"/>
      <c r="I45" s="84"/>
      <c r="J45" s="84"/>
      <c r="K45" s="85"/>
      <c r="L45" s="84"/>
      <c r="M45" s="84"/>
      <c r="N45" s="84"/>
      <c r="O45" s="84"/>
      <c r="P45" s="84">
        <f>D45+I45</f>
        <v>1934600</v>
      </c>
    </row>
    <row r="46" spans="1:19" s="13" customFormat="1" ht="33" customHeight="1">
      <c r="A46" s="9" t="s">
        <v>218</v>
      </c>
      <c r="B46" s="9" t="s">
        <v>220</v>
      </c>
      <c r="C46" s="8" t="s">
        <v>216</v>
      </c>
      <c r="D46" s="90">
        <f>E46+H46</f>
        <v>1570400</v>
      </c>
      <c r="E46" s="90">
        <v>1570400</v>
      </c>
      <c r="F46" s="90"/>
      <c r="G46" s="90"/>
      <c r="H46" s="90"/>
      <c r="I46" s="90"/>
      <c r="J46" s="90"/>
      <c r="K46" s="91"/>
      <c r="L46" s="90"/>
      <c r="M46" s="90"/>
      <c r="N46" s="90"/>
      <c r="O46" s="90"/>
      <c r="P46" s="90">
        <f>D46+I46</f>
        <v>1570400</v>
      </c>
      <c r="R46" s="61"/>
      <c r="S46" s="61"/>
    </row>
    <row r="47" spans="1:19" s="13" customFormat="1" ht="33.75" customHeight="1">
      <c r="A47" s="9" t="s">
        <v>219</v>
      </c>
      <c r="B47" s="9" t="s">
        <v>220</v>
      </c>
      <c r="C47" s="8" t="s">
        <v>217</v>
      </c>
      <c r="D47" s="90">
        <f>E47+H47</f>
        <v>364200</v>
      </c>
      <c r="E47" s="90">
        <v>364200</v>
      </c>
      <c r="F47" s="90"/>
      <c r="G47" s="90"/>
      <c r="H47" s="90"/>
      <c r="I47" s="90"/>
      <c r="J47" s="90"/>
      <c r="K47" s="91"/>
      <c r="L47" s="90"/>
      <c r="M47" s="90"/>
      <c r="N47" s="90"/>
      <c r="O47" s="90"/>
      <c r="P47" s="90">
        <f>D47+I47</f>
        <v>364200</v>
      </c>
      <c r="R47" s="61"/>
      <c r="S47" s="61"/>
    </row>
    <row r="48" spans="1:19" s="32" customFormat="1" ht="32.25" customHeight="1">
      <c r="A48" s="30" t="s">
        <v>39</v>
      </c>
      <c r="B48" s="31"/>
      <c r="C48" s="18" t="s">
        <v>7</v>
      </c>
      <c r="D48" s="80">
        <f>D49+D52+D55+D58+D67+D68+D74+D75+D77+D79+D82+D84+D85+D86+D88+D89+D92+D91</f>
        <v>162722820</v>
      </c>
      <c r="E48" s="80">
        <f>E49+E52+E55+E58+E67+E68+E74+E75+E77+E79+E82+E84+E85+E86+E88+E89+E92+E91</f>
        <v>162722820</v>
      </c>
      <c r="F48" s="80">
        <f>F49+F52+F55+F58+F71+F75+F77+F79+F82+F84+F85+F88+F89+F92+F91</f>
        <v>7536000</v>
      </c>
      <c r="G48" s="80">
        <f>G49+G52+G55+G58+G71+G75+G77+G79+G82+G84+G85+G88+G89+G92+G91</f>
        <v>183500</v>
      </c>
      <c r="H48" s="80"/>
      <c r="I48" s="80">
        <f>O48+L48</f>
        <v>34000</v>
      </c>
      <c r="J48" s="80">
        <f t="shared" ref="J48:O48" si="6">J49+J52+J55+J58+J71+J75+J77+J79+J82+J84+J85+J88+J89+J92+J91</f>
        <v>12000</v>
      </c>
      <c r="K48" s="86">
        <f t="shared" si="6"/>
        <v>12000</v>
      </c>
      <c r="L48" s="80">
        <f t="shared" si="6"/>
        <v>8000</v>
      </c>
      <c r="M48" s="80">
        <f t="shared" si="6"/>
        <v>0</v>
      </c>
      <c r="N48" s="80">
        <f t="shared" si="6"/>
        <v>0</v>
      </c>
      <c r="O48" s="80">
        <f t="shared" si="6"/>
        <v>26000</v>
      </c>
      <c r="P48" s="83">
        <f t="shared" si="0"/>
        <v>162756820</v>
      </c>
      <c r="R48" s="69"/>
      <c r="S48" s="69"/>
    </row>
    <row r="49" spans="1:19" s="17" customFormat="1" ht="287.25" customHeight="1">
      <c r="A49" s="15" t="s">
        <v>40</v>
      </c>
      <c r="B49" s="15"/>
      <c r="C49" s="18" t="s">
        <v>341</v>
      </c>
      <c r="D49" s="80">
        <f>D50+D51</f>
        <v>19265500</v>
      </c>
      <c r="E49" s="80">
        <f>E50+E51</f>
        <v>19265500</v>
      </c>
      <c r="F49" s="80">
        <f>F50+F51</f>
        <v>0</v>
      </c>
      <c r="G49" s="80">
        <f>G50+G51</f>
        <v>0</v>
      </c>
      <c r="H49" s="80"/>
      <c r="I49" s="80">
        <f t="shared" ref="I49:O49" si="7">I50+I51</f>
        <v>0</v>
      </c>
      <c r="J49" s="80">
        <f t="shared" si="7"/>
        <v>0</v>
      </c>
      <c r="K49" s="86">
        <f t="shared" si="7"/>
        <v>0</v>
      </c>
      <c r="L49" s="80">
        <f t="shared" si="7"/>
        <v>0</v>
      </c>
      <c r="M49" s="80">
        <f t="shared" si="7"/>
        <v>0</v>
      </c>
      <c r="N49" s="80">
        <f t="shared" si="7"/>
        <v>0</v>
      </c>
      <c r="O49" s="80">
        <f t="shared" si="7"/>
        <v>0</v>
      </c>
      <c r="P49" s="83">
        <f t="shared" si="0"/>
        <v>19265500</v>
      </c>
      <c r="R49" s="59"/>
      <c r="S49" s="59"/>
    </row>
    <row r="50" spans="1:19" ht="48">
      <c r="A50" s="10" t="s">
        <v>42</v>
      </c>
      <c r="B50" s="10" t="s">
        <v>24</v>
      </c>
      <c r="C50" s="8" t="s">
        <v>160</v>
      </c>
      <c r="D50" s="81">
        <f>E50+H50</f>
        <v>5765500</v>
      </c>
      <c r="E50" s="81">
        <v>5765500</v>
      </c>
      <c r="F50" s="81"/>
      <c r="G50" s="81"/>
      <c r="H50" s="81"/>
      <c r="I50" s="80">
        <f>I51+I52</f>
        <v>0</v>
      </c>
      <c r="J50" s="81"/>
      <c r="K50" s="82"/>
      <c r="L50" s="81"/>
      <c r="M50" s="81"/>
      <c r="N50" s="81"/>
      <c r="O50" s="80">
        <f>O51+O52</f>
        <v>0</v>
      </c>
      <c r="P50" s="84">
        <f t="shared" si="0"/>
        <v>5765500</v>
      </c>
    </row>
    <row r="51" spans="1:19" ht="48">
      <c r="A51" s="10" t="s">
        <v>74</v>
      </c>
      <c r="B51" s="10" t="s">
        <v>26</v>
      </c>
      <c r="C51" s="8" t="s">
        <v>92</v>
      </c>
      <c r="D51" s="81">
        <f>E51+H51</f>
        <v>13500000</v>
      </c>
      <c r="E51" s="81">
        <v>13500000</v>
      </c>
      <c r="F51" s="81"/>
      <c r="G51" s="81"/>
      <c r="H51" s="81"/>
      <c r="I51" s="80">
        <f>I52+I53</f>
        <v>0</v>
      </c>
      <c r="J51" s="81"/>
      <c r="K51" s="82"/>
      <c r="L51" s="81"/>
      <c r="M51" s="81"/>
      <c r="N51" s="81"/>
      <c r="O51" s="80">
        <f>O52+O53</f>
        <v>0</v>
      </c>
      <c r="P51" s="81">
        <f t="shared" si="0"/>
        <v>13500000</v>
      </c>
    </row>
    <row r="52" spans="1:19" s="17" customFormat="1" ht="48">
      <c r="A52" s="15" t="s">
        <v>43</v>
      </c>
      <c r="B52" s="15"/>
      <c r="C52" s="18" t="s">
        <v>44</v>
      </c>
      <c r="D52" s="80">
        <f>D53+D54</f>
        <v>259000</v>
      </c>
      <c r="E52" s="80">
        <f>E53+E54</f>
        <v>259000</v>
      </c>
      <c r="F52" s="80">
        <f>F53+F54</f>
        <v>0</v>
      </c>
      <c r="G52" s="80">
        <f>G53+G54</f>
        <v>0</v>
      </c>
      <c r="H52" s="80"/>
      <c r="I52" s="80">
        <f>I53+I54</f>
        <v>0</v>
      </c>
      <c r="J52" s="80">
        <f>J53+J54</f>
        <v>0</v>
      </c>
      <c r="K52" s="86">
        <f>K53+K54</f>
        <v>0</v>
      </c>
      <c r="L52" s="80">
        <f>L53+L54</f>
        <v>0</v>
      </c>
      <c r="M52" s="80">
        <f>M53+M54</f>
        <v>0</v>
      </c>
      <c r="N52" s="80">
        <f>N53+N54</f>
        <v>0</v>
      </c>
      <c r="O52" s="80">
        <f>O53+O54</f>
        <v>0</v>
      </c>
      <c r="P52" s="80">
        <f t="shared" si="0"/>
        <v>259000</v>
      </c>
      <c r="R52" s="59"/>
      <c r="S52" s="59"/>
    </row>
    <row r="53" spans="1:19" ht="63.75">
      <c r="A53" s="10" t="s">
        <v>45</v>
      </c>
      <c r="B53" s="10" t="s">
        <v>24</v>
      </c>
      <c r="C53" s="8" t="s">
        <v>161</v>
      </c>
      <c r="D53" s="81">
        <f>E53+H53</f>
        <v>23000</v>
      </c>
      <c r="E53" s="81">
        <v>23000</v>
      </c>
      <c r="F53" s="81"/>
      <c r="G53" s="81"/>
      <c r="H53" s="81"/>
      <c r="I53" s="80"/>
      <c r="J53" s="81"/>
      <c r="K53" s="82"/>
      <c r="L53" s="81"/>
      <c r="M53" s="81"/>
      <c r="N53" s="81"/>
      <c r="O53" s="80">
        <f>O54+O55</f>
        <v>0</v>
      </c>
      <c r="P53" s="81">
        <f t="shared" si="0"/>
        <v>23000</v>
      </c>
    </row>
    <row r="54" spans="1:19" ht="63.75">
      <c r="A54" s="10" t="s">
        <v>162</v>
      </c>
      <c r="B54" s="10" t="s">
        <v>26</v>
      </c>
      <c r="C54" s="8" t="s">
        <v>93</v>
      </c>
      <c r="D54" s="81">
        <f>E54+H54</f>
        <v>236000</v>
      </c>
      <c r="E54" s="81">
        <v>236000</v>
      </c>
      <c r="F54" s="81"/>
      <c r="G54" s="81"/>
      <c r="H54" s="81"/>
      <c r="I54" s="80"/>
      <c r="J54" s="81"/>
      <c r="K54" s="82"/>
      <c r="L54" s="81"/>
      <c r="M54" s="81"/>
      <c r="N54" s="81"/>
      <c r="O54" s="80">
        <f>O55+O56</f>
        <v>0</v>
      </c>
      <c r="P54" s="81">
        <f t="shared" si="0"/>
        <v>236000</v>
      </c>
    </row>
    <row r="55" spans="1:19" s="17" customFormat="1" ht="79.5">
      <c r="A55" s="15" t="s">
        <v>63</v>
      </c>
      <c r="B55" s="15" t="s">
        <v>24</v>
      </c>
      <c r="C55" s="18" t="s">
        <v>163</v>
      </c>
      <c r="D55" s="80">
        <f>D56+D57</f>
        <v>596400</v>
      </c>
      <c r="E55" s="80">
        <f>E56+E57</f>
        <v>596400</v>
      </c>
      <c r="F55" s="80">
        <f t="shared" ref="F55:O55" si="8">F56+F57</f>
        <v>0</v>
      </c>
      <c r="G55" s="80">
        <f t="shared" si="8"/>
        <v>0</v>
      </c>
      <c r="H55" s="80"/>
      <c r="I55" s="80">
        <f>I56+I57</f>
        <v>0</v>
      </c>
      <c r="J55" s="80">
        <f>J56+J57</f>
        <v>0</v>
      </c>
      <c r="K55" s="86">
        <f>K56+K57</f>
        <v>0</v>
      </c>
      <c r="L55" s="80">
        <f t="shared" si="8"/>
        <v>0</v>
      </c>
      <c r="M55" s="80">
        <f t="shared" si="8"/>
        <v>0</v>
      </c>
      <c r="N55" s="80">
        <f t="shared" si="8"/>
        <v>0</v>
      </c>
      <c r="O55" s="80">
        <f t="shared" si="8"/>
        <v>0</v>
      </c>
      <c r="P55" s="80">
        <f t="shared" si="0"/>
        <v>596400</v>
      </c>
      <c r="R55" s="59"/>
      <c r="S55" s="59"/>
    </row>
    <row r="56" spans="1:19" ht="32.25">
      <c r="A56" s="10" t="s">
        <v>73</v>
      </c>
      <c r="B56" s="10" t="s">
        <v>24</v>
      </c>
      <c r="C56" s="8" t="s">
        <v>164</v>
      </c>
      <c r="D56" s="81">
        <f>E56+H56</f>
        <v>368400</v>
      </c>
      <c r="E56" s="81">
        <v>368400</v>
      </c>
      <c r="F56" s="81"/>
      <c r="G56" s="81"/>
      <c r="H56" s="81"/>
      <c r="I56" s="80"/>
      <c r="J56" s="81"/>
      <c r="K56" s="82"/>
      <c r="L56" s="81"/>
      <c r="M56" s="81"/>
      <c r="N56" s="81"/>
      <c r="O56" s="80"/>
      <c r="P56" s="81">
        <f t="shared" si="0"/>
        <v>368400</v>
      </c>
    </row>
    <row r="57" spans="1:19" ht="32.25">
      <c r="A57" s="10" t="s">
        <v>165</v>
      </c>
      <c r="B57" s="10" t="s">
        <v>64</v>
      </c>
      <c r="C57" s="8" t="s">
        <v>75</v>
      </c>
      <c r="D57" s="81">
        <f>E57+H57</f>
        <v>228000</v>
      </c>
      <c r="E57" s="81">
        <v>228000</v>
      </c>
      <c r="F57" s="81"/>
      <c r="G57" s="81"/>
      <c r="H57" s="81"/>
      <c r="I57" s="80"/>
      <c r="J57" s="81"/>
      <c r="K57" s="82"/>
      <c r="L57" s="81"/>
      <c r="M57" s="81"/>
      <c r="N57" s="81"/>
      <c r="O57" s="80"/>
      <c r="P57" s="81">
        <f t="shared" si="0"/>
        <v>228000</v>
      </c>
    </row>
    <row r="58" spans="1:19" s="17" customFormat="1" ht="48">
      <c r="A58" s="15" t="s">
        <v>76</v>
      </c>
      <c r="B58" s="15"/>
      <c r="C58" s="18" t="s">
        <v>238</v>
      </c>
      <c r="D58" s="80">
        <f>D59+D60+D61+D62+D63+D64+D65+D66</f>
        <v>70149400</v>
      </c>
      <c r="E58" s="80">
        <f>E59+E60+E61+E62+E63+E64+E65+E66</f>
        <v>70149400</v>
      </c>
      <c r="F58" s="80">
        <f>F59+F60+F61+F62+F63+F64+F65+F66</f>
        <v>0</v>
      </c>
      <c r="G58" s="80">
        <f>G59+G60+G61+G62+G63+G64+G65+G66</f>
        <v>0</v>
      </c>
      <c r="H58" s="80"/>
      <c r="I58" s="80">
        <f t="shared" ref="I58:P58" si="9">I59+I60+I61+I62+I63+I64+I65+I66</f>
        <v>0</v>
      </c>
      <c r="J58" s="80">
        <f t="shared" si="9"/>
        <v>0</v>
      </c>
      <c r="K58" s="86">
        <f t="shared" si="9"/>
        <v>0</v>
      </c>
      <c r="L58" s="80">
        <f t="shared" si="9"/>
        <v>0</v>
      </c>
      <c r="M58" s="80">
        <f t="shared" si="9"/>
        <v>0</v>
      </c>
      <c r="N58" s="80">
        <f t="shared" si="9"/>
        <v>0</v>
      </c>
      <c r="O58" s="80">
        <f t="shared" si="9"/>
        <v>0</v>
      </c>
      <c r="P58" s="80">
        <f t="shared" si="9"/>
        <v>70149400</v>
      </c>
      <c r="R58" s="59"/>
      <c r="S58" s="59"/>
    </row>
    <row r="59" spans="1:19" s="7" customFormat="1" ht="30.75">
      <c r="A59" s="9" t="s">
        <v>77</v>
      </c>
      <c r="B59" s="9" t="s">
        <v>78</v>
      </c>
      <c r="C59" s="40" t="s">
        <v>79</v>
      </c>
      <c r="D59" s="87">
        <f>E59+H59</f>
        <v>1302100</v>
      </c>
      <c r="E59" s="87">
        <f>1540100-238000</f>
        <v>1302100</v>
      </c>
      <c r="F59" s="87"/>
      <c r="G59" s="87"/>
      <c r="H59" s="87"/>
      <c r="I59" s="80"/>
      <c r="J59" s="87"/>
      <c r="K59" s="88"/>
      <c r="L59" s="87"/>
      <c r="M59" s="87"/>
      <c r="N59" s="87"/>
      <c r="O59" s="87"/>
      <c r="P59" s="87">
        <f t="shared" si="0"/>
        <v>1302100</v>
      </c>
      <c r="R59" s="60"/>
      <c r="S59" s="60"/>
    </row>
    <row r="60" spans="1:19" s="7" customFormat="1" ht="18.75">
      <c r="A60" s="9" t="s">
        <v>80</v>
      </c>
      <c r="B60" s="9" t="s">
        <v>78</v>
      </c>
      <c r="C60" s="40" t="s">
        <v>90</v>
      </c>
      <c r="D60" s="87">
        <f t="shared" ref="D60:D65" si="10">E60+H60</f>
        <v>200000</v>
      </c>
      <c r="E60" s="87">
        <v>200000</v>
      </c>
      <c r="F60" s="87"/>
      <c r="G60" s="87"/>
      <c r="H60" s="87"/>
      <c r="I60" s="80"/>
      <c r="J60" s="87"/>
      <c r="K60" s="88"/>
      <c r="L60" s="87"/>
      <c r="M60" s="87"/>
      <c r="N60" s="87"/>
      <c r="O60" s="87"/>
      <c r="P60" s="87">
        <f t="shared" si="0"/>
        <v>200000</v>
      </c>
      <c r="R60" s="60"/>
      <c r="S60" s="60"/>
    </row>
    <row r="61" spans="1:19" s="7" customFormat="1" ht="18.75">
      <c r="A61" s="9" t="s">
        <v>81</v>
      </c>
      <c r="B61" s="9" t="s">
        <v>78</v>
      </c>
      <c r="C61" s="40" t="s">
        <v>82</v>
      </c>
      <c r="D61" s="87">
        <f t="shared" si="10"/>
        <v>48143700</v>
      </c>
      <c r="E61" s="87">
        <f>46510700+4000000-2367000</f>
        <v>48143700</v>
      </c>
      <c r="F61" s="87"/>
      <c r="G61" s="87"/>
      <c r="H61" s="87"/>
      <c r="I61" s="80"/>
      <c r="J61" s="87"/>
      <c r="K61" s="88"/>
      <c r="L61" s="87"/>
      <c r="M61" s="87"/>
      <c r="N61" s="87"/>
      <c r="O61" s="87"/>
      <c r="P61" s="87">
        <f t="shared" si="0"/>
        <v>48143700</v>
      </c>
      <c r="R61" s="60"/>
      <c r="S61" s="60"/>
    </row>
    <row r="62" spans="1:19" s="7" customFormat="1" ht="30.75">
      <c r="A62" s="9" t="s">
        <v>83</v>
      </c>
      <c r="B62" s="9" t="s">
        <v>78</v>
      </c>
      <c r="C62" s="40" t="s">
        <v>84</v>
      </c>
      <c r="D62" s="87">
        <f t="shared" si="10"/>
        <v>5000000</v>
      </c>
      <c r="E62" s="87">
        <v>5000000</v>
      </c>
      <c r="F62" s="87"/>
      <c r="G62" s="87"/>
      <c r="H62" s="87"/>
      <c r="I62" s="80"/>
      <c r="J62" s="87"/>
      <c r="K62" s="88"/>
      <c r="L62" s="87"/>
      <c r="M62" s="87"/>
      <c r="N62" s="87"/>
      <c r="O62" s="87"/>
      <c r="P62" s="87">
        <f t="shared" si="0"/>
        <v>5000000</v>
      </c>
      <c r="R62" s="60"/>
      <c r="S62" s="60"/>
    </row>
    <row r="63" spans="1:19" s="7" customFormat="1" ht="30.75">
      <c r="A63" s="9" t="s">
        <v>85</v>
      </c>
      <c r="B63" s="9" t="s">
        <v>78</v>
      </c>
      <c r="C63" s="40" t="s">
        <v>86</v>
      </c>
      <c r="D63" s="87">
        <f t="shared" si="10"/>
        <v>8640000</v>
      </c>
      <c r="E63" s="87">
        <f>9000000-360000</f>
        <v>8640000</v>
      </c>
      <c r="F63" s="87"/>
      <c r="G63" s="87"/>
      <c r="H63" s="87"/>
      <c r="I63" s="80"/>
      <c r="J63" s="87"/>
      <c r="K63" s="88"/>
      <c r="L63" s="87"/>
      <c r="M63" s="87"/>
      <c r="N63" s="87"/>
      <c r="O63" s="87"/>
      <c r="P63" s="87">
        <f t="shared" si="0"/>
        <v>8640000</v>
      </c>
      <c r="R63" s="60"/>
      <c r="S63" s="60"/>
    </row>
    <row r="64" spans="1:19" s="7" customFormat="1" ht="36" customHeight="1">
      <c r="A64" s="9" t="s">
        <v>87</v>
      </c>
      <c r="B64" s="9" t="s">
        <v>78</v>
      </c>
      <c r="C64" s="40" t="s">
        <v>88</v>
      </c>
      <c r="D64" s="87">
        <f t="shared" si="10"/>
        <v>653000</v>
      </c>
      <c r="E64" s="87">
        <f>933000-280000</f>
        <v>653000</v>
      </c>
      <c r="F64" s="87"/>
      <c r="G64" s="87"/>
      <c r="H64" s="87"/>
      <c r="I64" s="80"/>
      <c r="J64" s="87"/>
      <c r="K64" s="88"/>
      <c r="L64" s="87"/>
      <c r="M64" s="87"/>
      <c r="N64" s="87"/>
      <c r="O64" s="87"/>
      <c r="P64" s="87">
        <f t="shared" si="0"/>
        <v>653000</v>
      </c>
      <c r="R64" s="60"/>
      <c r="S64" s="60"/>
    </row>
    <row r="65" spans="1:19" s="7" customFormat="1" ht="36" customHeight="1">
      <c r="A65" s="9" t="s">
        <v>89</v>
      </c>
      <c r="B65" s="9" t="s">
        <v>78</v>
      </c>
      <c r="C65" s="40" t="s">
        <v>91</v>
      </c>
      <c r="D65" s="87">
        <f t="shared" si="10"/>
        <v>6210600</v>
      </c>
      <c r="E65" s="87">
        <v>6210600</v>
      </c>
      <c r="F65" s="87"/>
      <c r="G65" s="87"/>
      <c r="H65" s="87"/>
      <c r="I65" s="80"/>
      <c r="J65" s="87"/>
      <c r="K65" s="88"/>
      <c r="L65" s="87"/>
      <c r="M65" s="87"/>
      <c r="N65" s="87"/>
      <c r="O65" s="87"/>
      <c r="P65" s="87">
        <f t="shared" si="0"/>
        <v>6210600</v>
      </c>
      <c r="R65" s="60"/>
      <c r="S65" s="60"/>
    </row>
    <row r="66" spans="1:19" s="145" customFormat="1" ht="0.75" hidden="1" customHeight="1">
      <c r="A66" s="143" t="s">
        <v>301</v>
      </c>
      <c r="B66" s="143" t="s">
        <v>78</v>
      </c>
      <c r="C66" s="144" t="s">
        <v>302</v>
      </c>
      <c r="D66" s="150">
        <f>4000000-4000000</f>
        <v>0</v>
      </c>
      <c r="E66" s="150">
        <f>4000000-4000000</f>
        <v>0</v>
      </c>
      <c r="F66" s="150"/>
      <c r="G66" s="150"/>
      <c r="H66" s="150"/>
      <c r="I66" s="151"/>
      <c r="J66" s="150"/>
      <c r="K66" s="88"/>
      <c r="L66" s="150"/>
      <c r="M66" s="150"/>
      <c r="N66" s="150"/>
      <c r="O66" s="150"/>
      <c r="P66" s="150">
        <f t="shared" si="0"/>
        <v>0</v>
      </c>
      <c r="R66" s="146"/>
      <c r="S66" s="146"/>
    </row>
    <row r="67" spans="1:19" s="17" customFormat="1" ht="44.25" customHeight="1">
      <c r="A67" s="15" t="s">
        <v>303</v>
      </c>
      <c r="B67" s="15" t="s">
        <v>64</v>
      </c>
      <c r="C67" s="41" t="s">
        <v>304</v>
      </c>
      <c r="D67" s="80">
        <f>E67+H67</f>
        <v>129280</v>
      </c>
      <c r="E67" s="80">
        <v>129280</v>
      </c>
      <c r="F67" s="80"/>
      <c r="G67" s="80"/>
      <c r="H67" s="80"/>
      <c r="I67" s="80"/>
      <c r="J67" s="80"/>
      <c r="K67" s="86"/>
      <c r="L67" s="80"/>
      <c r="M67" s="80"/>
      <c r="N67" s="80"/>
      <c r="O67" s="80"/>
      <c r="P67" s="80">
        <f>D67+I67</f>
        <v>129280</v>
      </c>
      <c r="R67" s="59"/>
      <c r="S67" s="59"/>
    </row>
    <row r="68" spans="1:19" s="116" customFormat="1" ht="258.75" customHeight="1">
      <c r="A68" s="30" t="s">
        <v>105</v>
      </c>
      <c r="B68" s="30"/>
      <c r="C68" s="115" t="s">
        <v>342</v>
      </c>
      <c r="D68" s="80">
        <f>D69+D71+D70+D72+D73</f>
        <v>18773600</v>
      </c>
      <c r="E68" s="80">
        <f>E69+E71+E70+E72+E73</f>
        <v>18773600</v>
      </c>
      <c r="F68" s="81"/>
      <c r="G68" s="81"/>
      <c r="H68" s="81"/>
      <c r="I68" s="80"/>
      <c r="J68" s="81"/>
      <c r="K68" s="82"/>
      <c r="L68" s="81"/>
      <c r="M68" s="81"/>
      <c r="N68" s="81"/>
      <c r="O68" s="81"/>
      <c r="P68" s="80">
        <f t="shared" si="0"/>
        <v>18773600</v>
      </c>
      <c r="R68" s="117"/>
      <c r="S68" s="118"/>
    </row>
    <row r="69" spans="1:19" s="7" customFormat="1" ht="57.75" customHeight="1">
      <c r="A69" s="9" t="s">
        <v>240</v>
      </c>
      <c r="B69" s="9" t="s">
        <v>20</v>
      </c>
      <c r="C69" s="8" t="s">
        <v>242</v>
      </c>
      <c r="D69" s="87">
        <f t="shared" ref="D69:D74" si="11">E69+H69</f>
        <v>11854000</v>
      </c>
      <c r="E69" s="87">
        <v>11854000</v>
      </c>
      <c r="F69" s="87"/>
      <c r="G69" s="87"/>
      <c r="H69" s="87"/>
      <c r="I69" s="80"/>
      <c r="J69" s="87"/>
      <c r="K69" s="88"/>
      <c r="L69" s="87"/>
      <c r="M69" s="87"/>
      <c r="N69" s="87"/>
      <c r="O69" s="87"/>
      <c r="P69" s="87">
        <f t="shared" si="0"/>
        <v>11854000</v>
      </c>
      <c r="R69" s="60"/>
      <c r="S69" s="60"/>
    </row>
    <row r="70" spans="1:19" s="7" customFormat="1" ht="63.75">
      <c r="A70" s="9" t="s">
        <v>264</v>
      </c>
      <c r="B70" s="9" t="s">
        <v>20</v>
      </c>
      <c r="C70" s="8" t="s">
        <v>263</v>
      </c>
      <c r="D70" s="87">
        <f t="shared" si="11"/>
        <v>4231000</v>
      </c>
      <c r="E70" s="87">
        <v>4231000</v>
      </c>
      <c r="F70" s="87"/>
      <c r="G70" s="87"/>
      <c r="H70" s="87"/>
      <c r="I70" s="80"/>
      <c r="J70" s="87"/>
      <c r="K70" s="88"/>
      <c r="L70" s="87"/>
      <c r="M70" s="87"/>
      <c r="N70" s="87"/>
      <c r="O70" s="87"/>
      <c r="P70" s="87">
        <f t="shared" si="0"/>
        <v>4231000</v>
      </c>
      <c r="R70" s="60"/>
      <c r="S70" s="60"/>
    </row>
    <row r="71" spans="1:19" s="7" customFormat="1" ht="48.75">
      <c r="A71" s="9" t="s">
        <v>241</v>
      </c>
      <c r="B71" s="9" t="s">
        <v>20</v>
      </c>
      <c r="C71" s="8" t="s">
        <v>243</v>
      </c>
      <c r="D71" s="87">
        <f t="shared" si="11"/>
        <v>1748000</v>
      </c>
      <c r="E71" s="87">
        <v>1748000</v>
      </c>
      <c r="F71" s="152"/>
      <c r="G71" s="152"/>
      <c r="H71" s="152"/>
      <c r="I71" s="152"/>
      <c r="J71" s="152"/>
      <c r="K71" s="158"/>
      <c r="L71" s="152"/>
      <c r="M71" s="152"/>
      <c r="N71" s="152"/>
      <c r="O71" s="152"/>
      <c r="P71" s="87">
        <f t="shared" si="0"/>
        <v>1748000</v>
      </c>
      <c r="R71" s="60"/>
      <c r="S71" s="60"/>
    </row>
    <row r="72" spans="1:19" s="121" customFormat="1" ht="63.75">
      <c r="A72" s="111" t="s">
        <v>305</v>
      </c>
      <c r="B72" s="111" t="s">
        <v>78</v>
      </c>
      <c r="C72" s="8" t="s">
        <v>306</v>
      </c>
      <c r="D72" s="87">
        <f t="shared" si="11"/>
        <v>740600</v>
      </c>
      <c r="E72" s="87">
        <f>990600-250000</f>
        <v>740600</v>
      </c>
      <c r="F72" s="87"/>
      <c r="G72" s="87"/>
      <c r="H72" s="87"/>
      <c r="I72" s="87"/>
      <c r="J72" s="87"/>
      <c r="K72" s="88"/>
      <c r="L72" s="87"/>
      <c r="M72" s="87"/>
      <c r="N72" s="87"/>
      <c r="O72" s="87"/>
      <c r="P72" s="90">
        <f t="shared" si="0"/>
        <v>740600</v>
      </c>
      <c r="R72" s="122"/>
      <c r="S72" s="122"/>
    </row>
    <row r="73" spans="1:19" s="121" customFormat="1" ht="32.25">
      <c r="A73" s="111" t="s">
        <v>328</v>
      </c>
      <c r="B73" s="111" t="s">
        <v>78</v>
      </c>
      <c r="C73" s="8" t="s">
        <v>329</v>
      </c>
      <c r="D73" s="87">
        <f t="shared" si="11"/>
        <v>200000</v>
      </c>
      <c r="E73" s="87">
        <v>200000</v>
      </c>
      <c r="F73" s="87"/>
      <c r="G73" s="87"/>
      <c r="H73" s="87"/>
      <c r="I73" s="87"/>
      <c r="J73" s="87"/>
      <c r="K73" s="88"/>
      <c r="L73" s="87"/>
      <c r="M73" s="87"/>
      <c r="N73" s="87"/>
      <c r="O73" s="87"/>
      <c r="P73" s="90">
        <f t="shared" si="0"/>
        <v>200000</v>
      </c>
      <c r="R73" s="122"/>
      <c r="S73" s="122"/>
    </row>
    <row r="74" spans="1:19" s="123" customFormat="1" ht="32.25">
      <c r="A74" s="30" t="s">
        <v>307</v>
      </c>
      <c r="B74" s="30" t="s">
        <v>24</v>
      </c>
      <c r="C74" s="18" t="s">
        <v>308</v>
      </c>
      <c r="D74" s="80">
        <f t="shared" si="11"/>
        <v>57500</v>
      </c>
      <c r="E74" s="80">
        <v>57500</v>
      </c>
      <c r="F74" s="80"/>
      <c r="G74" s="80"/>
      <c r="H74" s="80"/>
      <c r="I74" s="80"/>
      <c r="J74" s="80"/>
      <c r="K74" s="86"/>
      <c r="L74" s="80"/>
      <c r="M74" s="80"/>
      <c r="N74" s="80"/>
      <c r="O74" s="80"/>
      <c r="P74" s="83">
        <f>D74+I74</f>
        <v>57500</v>
      </c>
      <c r="R74" s="124"/>
      <c r="S74" s="124"/>
    </row>
    <row r="75" spans="1:19" s="19" customFormat="1" ht="63.75">
      <c r="A75" s="15" t="s">
        <v>101</v>
      </c>
      <c r="B75" s="15"/>
      <c r="C75" s="18" t="s">
        <v>244</v>
      </c>
      <c r="D75" s="80">
        <f>D76</f>
        <v>6117900</v>
      </c>
      <c r="E75" s="80">
        <f>E76</f>
        <v>6117900</v>
      </c>
      <c r="F75" s="80">
        <f t="shared" ref="F75:O75" si="12">F76+F77</f>
        <v>5867200</v>
      </c>
      <c r="G75" s="80">
        <f t="shared" si="12"/>
        <v>63500</v>
      </c>
      <c r="H75" s="80"/>
      <c r="I75" s="80">
        <f t="shared" si="12"/>
        <v>22000</v>
      </c>
      <c r="J75" s="80">
        <f>J76+J77</f>
        <v>0</v>
      </c>
      <c r="K75" s="86">
        <f>K76+K77</f>
        <v>0</v>
      </c>
      <c r="L75" s="80">
        <f t="shared" si="12"/>
        <v>8000</v>
      </c>
      <c r="M75" s="80">
        <f t="shared" si="12"/>
        <v>0</v>
      </c>
      <c r="N75" s="80">
        <f t="shared" si="12"/>
        <v>0</v>
      </c>
      <c r="O75" s="80">
        <f t="shared" si="12"/>
        <v>14000</v>
      </c>
      <c r="P75" s="80">
        <f>D75+I75</f>
        <v>6139900</v>
      </c>
      <c r="R75" s="59"/>
      <c r="S75" s="125"/>
    </row>
    <row r="76" spans="1:19" s="7" customFormat="1" ht="63.75">
      <c r="A76" s="9" t="s">
        <v>102</v>
      </c>
      <c r="B76" s="9" t="s">
        <v>21</v>
      </c>
      <c r="C76" s="8" t="s">
        <v>106</v>
      </c>
      <c r="D76" s="87">
        <f>E76+H76</f>
        <v>6117900</v>
      </c>
      <c r="E76" s="87">
        <f>6190300-72400</f>
        <v>6117900</v>
      </c>
      <c r="F76" s="87">
        <f>5939600-72400</f>
        <v>5867200</v>
      </c>
      <c r="G76" s="87">
        <v>63500</v>
      </c>
      <c r="H76" s="87"/>
      <c r="I76" s="90">
        <f>L76+O76</f>
        <v>22000</v>
      </c>
      <c r="J76" s="90"/>
      <c r="K76" s="91"/>
      <c r="L76" s="90">
        <v>8000</v>
      </c>
      <c r="M76" s="90"/>
      <c r="N76" s="90"/>
      <c r="O76" s="90">
        <v>14000</v>
      </c>
      <c r="P76" s="90">
        <f t="shared" ref="P76:P85" si="13">D76+I76</f>
        <v>6139900</v>
      </c>
      <c r="R76" s="60"/>
      <c r="S76" s="60"/>
    </row>
    <row r="77" spans="1:19" s="19" customFormat="1" ht="32.25">
      <c r="A77" s="15" t="s">
        <v>94</v>
      </c>
      <c r="B77" s="15"/>
      <c r="C77" s="18" t="s">
        <v>96</v>
      </c>
      <c r="D77" s="80">
        <f>D78</f>
        <v>33100</v>
      </c>
      <c r="E77" s="80">
        <f>E78</f>
        <v>33100</v>
      </c>
      <c r="F77" s="80"/>
      <c r="G77" s="80"/>
      <c r="H77" s="80"/>
      <c r="I77" s="80"/>
      <c r="J77" s="80"/>
      <c r="K77" s="86"/>
      <c r="L77" s="80"/>
      <c r="M77" s="80"/>
      <c r="N77" s="80"/>
      <c r="O77" s="80"/>
      <c r="P77" s="80">
        <f>D77+I77</f>
        <v>33100</v>
      </c>
      <c r="R77" s="125"/>
      <c r="S77" s="125"/>
    </row>
    <row r="78" spans="1:19" s="7" customFormat="1" ht="38.25" customHeight="1">
      <c r="A78" s="9" t="s">
        <v>95</v>
      </c>
      <c r="B78" s="9" t="s">
        <v>78</v>
      </c>
      <c r="C78" s="8" t="s">
        <v>107</v>
      </c>
      <c r="D78" s="87">
        <f>E78+H78</f>
        <v>33100</v>
      </c>
      <c r="E78" s="87">
        <v>33100</v>
      </c>
      <c r="F78" s="87"/>
      <c r="G78" s="87"/>
      <c r="H78" s="87"/>
      <c r="I78" s="87"/>
      <c r="J78" s="87"/>
      <c r="K78" s="88"/>
      <c r="L78" s="87"/>
      <c r="M78" s="87"/>
      <c r="N78" s="87"/>
      <c r="O78" s="87"/>
      <c r="P78" s="87">
        <f t="shared" si="13"/>
        <v>33100</v>
      </c>
      <c r="R78" s="60"/>
      <c r="S78" s="60"/>
    </row>
    <row r="79" spans="1:19" s="17" customFormat="1" ht="32.25">
      <c r="A79" s="15" t="s">
        <v>134</v>
      </c>
      <c r="B79" s="15"/>
      <c r="C79" s="18" t="s">
        <v>98</v>
      </c>
      <c r="D79" s="80">
        <f>D80+D81</f>
        <v>3764300</v>
      </c>
      <c r="E79" s="80">
        <f>E80+E81</f>
        <v>3764300</v>
      </c>
      <c r="F79" s="80">
        <f>F80+F81</f>
        <v>1668800</v>
      </c>
      <c r="G79" s="80">
        <f>G80+G81</f>
        <v>120000</v>
      </c>
      <c r="H79" s="80"/>
      <c r="I79" s="80">
        <f>L79+O79</f>
        <v>12000</v>
      </c>
      <c r="J79" s="80">
        <f t="shared" ref="J79:O79" si="14">J80</f>
        <v>12000</v>
      </c>
      <c r="K79" s="86">
        <f t="shared" si="14"/>
        <v>12000</v>
      </c>
      <c r="L79" s="80">
        <f t="shared" si="14"/>
        <v>0</v>
      </c>
      <c r="M79" s="80">
        <f t="shared" si="14"/>
        <v>0</v>
      </c>
      <c r="N79" s="80">
        <f t="shared" si="14"/>
        <v>0</v>
      </c>
      <c r="O79" s="80">
        <f t="shared" si="14"/>
        <v>12000</v>
      </c>
      <c r="P79" s="80">
        <f>D79+I79</f>
        <v>3776300</v>
      </c>
      <c r="R79" s="59"/>
      <c r="S79" s="59"/>
    </row>
    <row r="80" spans="1:19" s="7" customFormat="1" ht="48">
      <c r="A80" s="9" t="s">
        <v>135</v>
      </c>
      <c r="B80" s="9" t="s">
        <v>78</v>
      </c>
      <c r="C80" s="8" t="s">
        <v>136</v>
      </c>
      <c r="D80" s="87">
        <f>E80+H80</f>
        <v>3493400</v>
      </c>
      <c r="E80" s="87">
        <v>3493400</v>
      </c>
      <c r="F80" s="87">
        <f>2901200-54000-1178400</f>
        <v>1668800</v>
      </c>
      <c r="G80" s="87">
        <v>120000</v>
      </c>
      <c r="H80" s="87"/>
      <c r="I80" s="80">
        <f>L80+O80</f>
        <v>12000</v>
      </c>
      <c r="J80" s="90">
        <v>12000</v>
      </c>
      <c r="K80" s="91">
        <v>12000</v>
      </c>
      <c r="L80" s="90"/>
      <c r="M80" s="90"/>
      <c r="N80" s="90"/>
      <c r="O80" s="90">
        <v>12000</v>
      </c>
      <c r="P80" s="90">
        <f>D80+I80</f>
        <v>3505400</v>
      </c>
      <c r="R80" s="60"/>
      <c r="S80" s="60"/>
    </row>
    <row r="81" spans="1:19" s="7" customFormat="1" ht="33" customHeight="1">
      <c r="A81" s="9" t="s">
        <v>137</v>
      </c>
      <c r="B81" s="9" t="s">
        <v>78</v>
      </c>
      <c r="C81" s="8" t="s">
        <v>108</v>
      </c>
      <c r="D81" s="90">
        <f>E81+H81</f>
        <v>270900</v>
      </c>
      <c r="E81" s="90">
        <v>270900</v>
      </c>
      <c r="F81" s="90"/>
      <c r="G81" s="90"/>
      <c r="H81" s="90"/>
      <c r="I81" s="90"/>
      <c r="J81" s="90"/>
      <c r="K81" s="91"/>
      <c r="L81" s="90"/>
      <c r="M81" s="90"/>
      <c r="N81" s="90"/>
      <c r="O81" s="90"/>
      <c r="P81" s="90">
        <f t="shared" si="13"/>
        <v>270900</v>
      </c>
      <c r="R81" s="60"/>
      <c r="S81" s="60"/>
    </row>
    <row r="82" spans="1:19" s="19" customFormat="1" ht="32.25">
      <c r="A82" s="15" t="s">
        <v>97</v>
      </c>
      <c r="B82" s="15"/>
      <c r="C82" s="18" t="s">
        <v>115</v>
      </c>
      <c r="D82" s="83">
        <f>D83</f>
        <v>554400</v>
      </c>
      <c r="E82" s="83">
        <f>E83</f>
        <v>554400</v>
      </c>
      <c r="F82" s="83"/>
      <c r="G82" s="83"/>
      <c r="H82" s="83"/>
      <c r="I82" s="83"/>
      <c r="J82" s="83"/>
      <c r="K82" s="89"/>
      <c r="L82" s="83"/>
      <c r="M82" s="83"/>
      <c r="N82" s="83"/>
      <c r="O82" s="83"/>
      <c r="P82" s="83">
        <f t="shared" si="13"/>
        <v>554400</v>
      </c>
      <c r="R82" s="125"/>
      <c r="S82" s="125"/>
    </row>
    <row r="83" spans="1:19" s="7" customFormat="1" ht="41.25" customHeight="1">
      <c r="A83" s="9" t="s">
        <v>138</v>
      </c>
      <c r="B83" s="9" t="s">
        <v>78</v>
      </c>
      <c r="C83" s="8" t="s">
        <v>116</v>
      </c>
      <c r="D83" s="90">
        <f>E83+H83</f>
        <v>554400</v>
      </c>
      <c r="E83" s="90">
        <v>554400</v>
      </c>
      <c r="F83" s="90"/>
      <c r="G83" s="90"/>
      <c r="H83" s="90"/>
      <c r="I83" s="90"/>
      <c r="J83" s="90"/>
      <c r="K83" s="91"/>
      <c r="L83" s="90"/>
      <c r="M83" s="90"/>
      <c r="N83" s="90"/>
      <c r="O83" s="90"/>
      <c r="P83" s="90">
        <f>D83</f>
        <v>554400</v>
      </c>
      <c r="R83" s="60"/>
      <c r="S83" s="60"/>
    </row>
    <row r="84" spans="1:19" s="19" customFormat="1" ht="79.5">
      <c r="A84" s="15" t="s">
        <v>99</v>
      </c>
      <c r="B84" s="15" t="s">
        <v>78</v>
      </c>
      <c r="C84" s="18" t="s">
        <v>100</v>
      </c>
      <c r="D84" s="83">
        <f>E84+H84</f>
        <v>1522300</v>
      </c>
      <c r="E84" s="80">
        <f>170000+1153100+307400-108200</f>
        <v>1522300</v>
      </c>
      <c r="F84" s="80"/>
      <c r="G84" s="80"/>
      <c r="H84" s="80"/>
      <c r="I84" s="80"/>
      <c r="J84" s="80"/>
      <c r="K84" s="86"/>
      <c r="L84" s="80"/>
      <c r="M84" s="80"/>
      <c r="N84" s="80"/>
      <c r="O84" s="80"/>
      <c r="P84" s="80">
        <f t="shared" si="13"/>
        <v>1522300</v>
      </c>
      <c r="R84" s="125"/>
      <c r="S84" s="125"/>
    </row>
    <row r="85" spans="1:19" s="12" customFormat="1" ht="95.25">
      <c r="A85" s="15" t="s">
        <v>166</v>
      </c>
      <c r="B85" s="127" t="s">
        <v>20</v>
      </c>
      <c r="C85" s="18" t="s">
        <v>245</v>
      </c>
      <c r="D85" s="80">
        <f>E85+H85</f>
        <v>542200</v>
      </c>
      <c r="E85" s="80">
        <v>542200</v>
      </c>
      <c r="F85" s="80"/>
      <c r="G85" s="80"/>
      <c r="H85" s="80"/>
      <c r="I85" s="80"/>
      <c r="J85" s="80"/>
      <c r="K85" s="86"/>
      <c r="L85" s="80"/>
      <c r="M85" s="80"/>
      <c r="N85" s="80"/>
      <c r="O85" s="80"/>
      <c r="P85" s="80">
        <f t="shared" si="13"/>
        <v>542200</v>
      </c>
      <c r="R85" s="128"/>
      <c r="S85" s="128"/>
    </row>
    <row r="86" spans="1:19" s="12" customFormat="1" ht="32.25">
      <c r="A86" s="15" t="s">
        <v>309</v>
      </c>
      <c r="B86" s="127"/>
      <c r="C86" s="18" t="s">
        <v>310</v>
      </c>
      <c r="D86" s="80">
        <f>D87</f>
        <v>29040</v>
      </c>
      <c r="E86" s="80">
        <f>E87</f>
        <v>29040</v>
      </c>
      <c r="F86" s="80"/>
      <c r="G86" s="80"/>
      <c r="H86" s="80"/>
      <c r="I86" s="80"/>
      <c r="J86" s="80"/>
      <c r="K86" s="86"/>
      <c r="L86" s="80"/>
      <c r="M86" s="80"/>
      <c r="N86" s="80"/>
      <c r="O86" s="80"/>
      <c r="P86" s="80">
        <f>P87</f>
        <v>29040</v>
      </c>
      <c r="R86" s="128"/>
      <c r="S86" s="128"/>
    </row>
    <row r="87" spans="1:19" s="129" customFormat="1" ht="64.5">
      <c r="A87" s="9" t="s">
        <v>311</v>
      </c>
      <c r="B87" s="9" t="s">
        <v>20</v>
      </c>
      <c r="C87" s="8" t="s">
        <v>312</v>
      </c>
      <c r="D87" s="87">
        <f>E87+H87</f>
        <v>29040</v>
      </c>
      <c r="E87" s="87">
        <v>29040</v>
      </c>
      <c r="F87" s="152"/>
      <c r="G87" s="152"/>
      <c r="H87" s="152"/>
      <c r="I87" s="152"/>
      <c r="J87" s="152"/>
      <c r="K87" s="158"/>
      <c r="L87" s="152"/>
      <c r="M87" s="152"/>
      <c r="N87" s="152"/>
      <c r="O87" s="152"/>
      <c r="P87" s="87">
        <f>D87+I87</f>
        <v>29040</v>
      </c>
      <c r="R87" s="130"/>
      <c r="S87" s="130"/>
    </row>
    <row r="88" spans="1:19" s="12" customFormat="1" ht="95.25">
      <c r="A88" s="15" t="s">
        <v>103</v>
      </c>
      <c r="B88" s="15" t="s">
        <v>26</v>
      </c>
      <c r="C88" s="18" t="s">
        <v>246</v>
      </c>
      <c r="D88" s="83">
        <f>E88+H88</f>
        <v>935000</v>
      </c>
      <c r="E88" s="83">
        <v>935000</v>
      </c>
      <c r="F88" s="83"/>
      <c r="G88" s="83"/>
      <c r="H88" s="83"/>
      <c r="I88" s="80"/>
      <c r="J88" s="83"/>
      <c r="K88" s="89"/>
      <c r="L88" s="83"/>
      <c r="M88" s="83"/>
      <c r="N88" s="83"/>
      <c r="O88" s="83"/>
      <c r="P88" s="83">
        <f t="shared" si="0"/>
        <v>935000</v>
      </c>
      <c r="R88" s="128"/>
      <c r="S88" s="128"/>
    </row>
    <row r="89" spans="1:19" s="12" customFormat="1" ht="38.25" customHeight="1">
      <c r="A89" s="15" t="s">
        <v>247</v>
      </c>
      <c r="B89" s="15"/>
      <c r="C89" s="18" t="s">
        <v>104</v>
      </c>
      <c r="D89" s="83">
        <f>D90</f>
        <v>200000</v>
      </c>
      <c r="E89" s="83">
        <f>E90</f>
        <v>200000</v>
      </c>
      <c r="F89" s="83"/>
      <c r="G89" s="83"/>
      <c r="H89" s="83"/>
      <c r="I89" s="80"/>
      <c r="J89" s="83"/>
      <c r="K89" s="89"/>
      <c r="L89" s="83"/>
      <c r="M89" s="83"/>
      <c r="N89" s="83"/>
      <c r="O89" s="83"/>
      <c r="P89" s="83">
        <f>P90</f>
        <v>200000</v>
      </c>
      <c r="R89" s="128"/>
      <c r="S89" s="128"/>
    </row>
    <row r="90" spans="1:19" s="13" customFormat="1" ht="78" customHeight="1">
      <c r="A90" s="9" t="s">
        <v>248</v>
      </c>
      <c r="B90" s="9" t="s">
        <v>24</v>
      </c>
      <c r="C90" s="8" t="s">
        <v>249</v>
      </c>
      <c r="D90" s="90">
        <f>E90+H90</f>
        <v>200000</v>
      </c>
      <c r="E90" s="90">
        <f>50000+150000</f>
        <v>200000</v>
      </c>
      <c r="F90" s="90"/>
      <c r="G90" s="90"/>
      <c r="H90" s="90"/>
      <c r="I90" s="90"/>
      <c r="J90" s="90"/>
      <c r="K90" s="91"/>
      <c r="L90" s="90"/>
      <c r="M90" s="90"/>
      <c r="N90" s="90"/>
      <c r="O90" s="90"/>
      <c r="P90" s="90">
        <f t="shared" si="0"/>
        <v>200000</v>
      </c>
      <c r="R90" s="61"/>
      <c r="S90" s="61"/>
    </row>
    <row r="91" spans="1:19" s="12" customFormat="1" ht="33">
      <c r="A91" s="15" t="s">
        <v>237</v>
      </c>
      <c r="B91" s="15" t="s">
        <v>199</v>
      </c>
      <c r="C91" s="18" t="s">
        <v>200</v>
      </c>
      <c r="D91" s="83">
        <f>E91+H91</f>
        <v>50000</v>
      </c>
      <c r="E91" s="83">
        <v>50000</v>
      </c>
      <c r="F91" s="83"/>
      <c r="G91" s="83"/>
      <c r="H91" s="83"/>
      <c r="I91" s="83"/>
      <c r="J91" s="83"/>
      <c r="K91" s="89"/>
      <c r="L91" s="83"/>
      <c r="M91" s="83"/>
      <c r="N91" s="83"/>
      <c r="O91" s="83"/>
      <c r="P91" s="153">
        <f t="shared" si="0"/>
        <v>50000</v>
      </c>
      <c r="R91" s="128"/>
      <c r="S91" s="128"/>
    </row>
    <row r="92" spans="1:19" ht="18.75">
      <c r="A92" s="30" t="s">
        <v>250</v>
      </c>
      <c r="B92" s="30"/>
      <c r="C92" s="18" t="s">
        <v>221</v>
      </c>
      <c r="D92" s="80">
        <f>D93</f>
        <v>39743900</v>
      </c>
      <c r="E92" s="80">
        <f>E93</f>
        <v>39743900</v>
      </c>
      <c r="F92" s="80">
        <f t="shared" ref="F92:O92" si="15">F93</f>
        <v>0</v>
      </c>
      <c r="G92" s="80">
        <f t="shared" si="15"/>
        <v>0</v>
      </c>
      <c r="H92" s="80"/>
      <c r="I92" s="80">
        <f t="shared" si="15"/>
        <v>0</v>
      </c>
      <c r="J92" s="80">
        <f t="shared" si="15"/>
        <v>0</v>
      </c>
      <c r="K92" s="86">
        <f t="shared" si="15"/>
        <v>0</v>
      </c>
      <c r="L92" s="80">
        <f t="shared" si="15"/>
        <v>0</v>
      </c>
      <c r="M92" s="80">
        <f t="shared" si="15"/>
        <v>0</v>
      </c>
      <c r="N92" s="80">
        <f t="shared" si="15"/>
        <v>0</v>
      </c>
      <c r="O92" s="80">
        <f t="shared" si="15"/>
        <v>0</v>
      </c>
      <c r="P92" s="83">
        <f t="shared" si="0"/>
        <v>39743900</v>
      </c>
    </row>
    <row r="93" spans="1:19" ht="32.25">
      <c r="A93" s="10" t="s">
        <v>251</v>
      </c>
      <c r="B93" s="10" t="s">
        <v>28</v>
      </c>
      <c r="C93" s="6" t="s">
        <v>252</v>
      </c>
      <c r="D93" s="81">
        <f>E93</f>
        <v>39743900</v>
      </c>
      <c r="E93" s="81">
        <f>2954400+10702600+23978700+108200+2000000</f>
        <v>39743900</v>
      </c>
      <c r="F93" s="81"/>
      <c r="G93" s="81"/>
      <c r="H93" s="81"/>
      <c r="I93" s="80"/>
      <c r="J93" s="81"/>
      <c r="K93" s="82"/>
      <c r="L93" s="81"/>
      <c r="M93" s="81"/>
      <c r="N93" s="81"/>
      <c r="O93" s="81"/>
      <c r="P93" s="84">
        <f t="shared" si="0"/>
        <v>39743900</v>
      </c>
    </row>
    <row r="94" spans="1:19" s="17" customFormat="1" ht="18.75">
      <c r="A94" s="15" t="s">
        <v>50</v>
      </c>
      <c r="B94" s="15"/>
      <c r="C94" s="41" t="s">
        <v>9</v>
      </c>
      <c r="D94" s="80">
        <f>D95+D96+D97+D98</f>
        <v>15769377</v>
      </c>
      <c r="E94" s="80">
        <f>E95+E96+E97+E98</f>
        <v>15769377</v>
      </c>
      <c r="F94" s="80">
        <f>F95+F96+F97+F98</f>
        <v>11490700</v>
      </c>
      <c r="G94" s="80">
        <f t="shared" ref="G94:O94" si="16">G95+G96+G97+G98</f>
        <v>1583300</v>
      </c>
      <c r="H94" s="80">
        <f>H96+H97</f>
        <v>0</v>
      </c>
      <c r="I94" s="80">
        <f t="shared" si="16"/>
        <v>2540000</v>
      </c>
      <c r="J94" s="80">
        <f>J95+J96+J97+J98</f>
        <v>2287400</v>
      </c>
      <c r="K94" s="86">
        <f>K95+K96+K97+K98</f>
        <v>2287400</v>
      </c>
      <c r="L94" s="80">
        <f t="shared" si="16"/>
        <v>252600</v>
      </c>
      <c r="M94" s="80">
        <f t="shared" si="16"/>
        <v>30500</v>
      </c>
      <c r="N94" s="80">
        <f t="shared" si="16"/>
        <v>0</v>
      </c>
      <c r="O94" s="80">
        <f t="shared" si="16"/>
        <v>2287400</v>
      </c>
      <c r="P94" s="80">
        <f t="shared" si="0"/>
        <v>18309377</v>
      </c>
      <c r="R94" s="59"/>
      <c r="S94" s="59"/>
    </row>
    <row r="95" spans="1:19" ht="18.75">
      <c r="A95" s="10" t="s">
        <v>139</v>
      </c>
      <c r="B95" s="10" t="s">
        <v>52</v>
      </c>
      <c r="C95" s="42" t="s">
        <v>142</v>
      </c>
      <c r="D95" s="81">
        <f>E95+H95</f>
        <v>5227658</v>
      </c>
      <c r="E95" s="81">
        <f>5109800+25000-75000+167858</f>
        <v>5227658</v>
      </c>
      <c r="F95" s="81">
        <v>4075800</v>
      </c>
      <c r="G95" s="81">
        <v>588500</v>
      </c>
      <c r="H95" s="81"/>
      <c r="I95" s="81">
        <f>O95+L95</f>
        <v>1795200</v>
      </c>
      <c r="J95" s="81">
        <v>1738200</v>
      </c>
      <c r="K95" s="82">
        <v>1738200</v>
      </c>
      <c r="L95" s="81">
        <v>57000</v>
      </c>
      <c r="M95" s="81"/>
      <c r="N95" s="81"/>
      <c r="O95" s="81">
        <v>1738200</v>
      </c>
      <c r="P95" s="81">
        <f t="shared" si="0"/>
        <v>7022858</v>
      </c>
    </row>
    <row r="96" spans="1:19" ht="18.75">
      <c r="A96" s="10" t="s">
        <v>140</v>
      </c>
      <c r="B96" s="10" t="s">
        <v>52</v>
      </c>
      <c r="C96" s="42" t="s">
        <v>141</v>
      </c>
      <c r="D96" s="81">
        <f>E96+H96</f>
        <v>1795719</v>
      </c>
      <c r="E96" s="81">
        <f>1714100+25000-54500+111119</f>
        <v>1795719</v>
      </c>
      <c r="F96" s="81">
        <v>1296900</v>
      </c>
      <c r="G96" s="81">
        <v>240100</v>
      </c>
      <c r="H96" s="81"/>
      <c r="I96" s="81">
        <f>L96+O96</f>
        <v>126000</v>
      </c>
      <c r="J96" s="81">
        <v>94500</v>
      </c>
      <c r="K96" s="82">
        <v>94500</v>
      </c>
      <c r="L96" s="81">
        <v>31500</v>
      </c>
      <c r="M96" s="81"/>
      <c r="N96" s="81"/>
      <c r="O96" s="81">
        <v>94500</v>
      </c>
      <c r="P96" s="81">
        <f t="shared" si="0"/>
        <v>1921719</v>
      </c>
    </row>
    <row r="97" spans="1:19" ht="45.75">
      <c r="A97" s="10" t="s">
        <v>51</v>
      </c>
      <c r="B97" s="10" t="s">
        <v>53</v>
      </c>
      <c r="C97" s="42" t="s">
        <v>143</v>
      </c>
      <c r="D97" s="81">
        <f>E97+H97</f>
        <v>6524200</v>
      </c>
      <c r="E97" s="81">
        <f>6499200+25000-145000+145000</f>
        <v>6524200</v>
      </c>
      <c r="F97" s="81">
        <v>5102000</v>
      </c>
      <c r="G97" s="81">
        <v>722900</v>
      </c>
      <c r="H97" s="81"/>
      <c r="I97" s="81">
        <f>L97+O97</f>
        <v>618800</v>
      </c>
      <c r="J97" s="81">
        <v>454700</v>
      </c>
      <c r="K97" s="82">
        <v>454700</v>
      </c>
      <c r="L97" s="81">
        <v>164100</v>
      </c>
      <c r="M97" s="81">
        <f>25000+5500</f>
        <v>30500</v>
      </c>
      <c r="N97" s="81"/>
      <c r="O97" s="81">
        <v>454700</v>
      </c>
      <c r="P97" s="81">
        <f t="shared" si="0"/>
        <v>7143000</v>
      </c>
    </row>
    <row r="98" spans="1:19" ht="30.75">
      <c r="A98" s="10" t="s">
        <v>144</v>
      </c>
      <c r="B98" s="10"/>
      <c r="C98" s="42" t="s">
        <v>145</v>
      </c>
      <c r="D98" s="81">
        <f>D99+D100</f>
        <v>2221800</v>
      </c>
      <c r="E98" s="81">
        <f>E99+E100</f>
        <v>2221800</v>
      </c>
      <c r="F98" s="81">
        <f>F99+F100</f>
        <v>1016000</v>
      </c>
      <c r="G98" s="81">
        <f t="shared" ref="G98:O98" si="17">G99+G100</f>
        <v>31800</v>
      </c>
      <c r="H98" s="81"/>
      <c r="I98" s="81">
        <f t="shared" si="17"/>
        <v>0</v>
      </c>
      <c r="J98" s="81">
        <f>J99+J100</f>
        <v>0</v>
      </c>
      <c r="K98" s="82">
        <f>K99+K100</f>
        <v>0</v>
      </c>
      <c r="L98" s="81">
        <f t="shared" si="17"/>
        <v>0</v>
      </c>
      <c r="M98" s="81">
        <f t="shared" si="17"/>
        <v>0</v>
      </c>
      <c r="N98" s="81">
        <f t="shared" si="17"/>
        <v>0</v>
      </c>
      <c r="O98" s="81">
        <f t="shared" si="17"/>
        <v>0</v>
      </c>
      <c r="P98" s="81">
        <f t="shared" si="0"/>
        <v>2221800</v>
      </c>
    </row>
    <row r="99" spans="1:19" s="13" customFormat="1" ht="30.75">
      <c r="A99" s="9" t="s">
        <v>230</v>
      </c>
      <c r="B99" s="9" t="s">
        <v>54</v>
      </c>
      <c r="C99" s="40" t="s">
        <v>232</v>
      </c>
      <c r="D99" s="87">
        <f>E99+H99</f>
        <v>1115800</v>
      </c>
      <c r="E99" s="87">
        <v>1115800</v>
      </c>
      <c r="F99" s="87">
        <v>1016000</v>
      </c>
      <c r="G99" s="87">
        <v>31800</v>
      </c>
      <c r="H99" s="87"/>
      <c r="I99" s="81"/>
      <c r="J99" s="87"/>
      <c r="K99" s="88"/>
      <c r="L99" s="87"/>
      <c r="M99" s="87"/>
      <c r="N99" s="87"/>
      <c r="O99" s="87"/>
      <c r="P99" s="87">
        <f t="shared" si="0"/>
        <v>1115800</v>
      </c>
      <c r="R99" s="61"/>
      <c r="S99" s="61"/>
    </row>
    <row r="100" spans="1:19" s="13" customFormat="1" ht="18.75">
      <c r="A100" s="9" t="s">
        <v>231</v>
      </c>
      <c r="B100" s="9" t="s">
        <v>54</v>
      </c>
      <c r="C100" s="40" t="s">
        <v>233</v>
      </c>
      <c r="D100" s="87">
        <f>E100+H100</f>
        <v>1106000</v>
      </c>
      <c r="E100" s="87">
        <v>1106000</v>
      </c>
      <c r="F100" s="87"/>
      <c r="G100" s="87"/>
      <c r="H100" s="87"/>
      <c r="I100" s="87"/>
      <c r="J100" s="87"/>
      <c r="K100" s="88"/>
      <c r="L100" s="87"/>
      <c r="M100" s="87"/>
      <c r="N100" s="87"/>
      <c r="O100" s="87"/>
      <c r="P100" s="87">
        <f t="shared" si="0"/>
        <v>1106000</v>
      </c>
      <c r="R100" s="61"/>
      <c r="S100" s="61"/>
    </row>
    <row r="101" spans="1:19" s="17" customFormat="1" ht="18.75">
      <c r="A101" s="15" t="s">
        <v>55</v>
      </c>
      <c r="B101" s="15"/>
      <c r="C101" s="41" t="s">
        <v>12</v>
      </c>
      <c r="D101" s="80">
        <f>D102+D105+D107</f>
        <v>7187400</v>
      </c>
      <c r="E101" s="80">
        <f>E102+E105+E107</f>
        <v>7187400</v>
      </c>
      <c r="F101" s="80">
        <f>F102+F105+F107</f>
        <v>4181500</v>
      </c>
      <c r="G101" s="80">
        <f>G102+G105+G107</f>
        <v>394450</v>
      </c>
      <c r="H101" s="80"/>
      <c r="I101" s="80">
        <f>O101+L101</f>
        <v>5901600</v>
      </c>
      <c r="J101" s="80">
        <f>J105+J107</f>
        <v>5791600</v>
      </c>
      <c r="K101" s="86">
        <f>K105+K107</f>
        <v>5791600</v>
      </c>
      <c r="L101" s="80">
        <f>L105+L107</f>
        <v>110000</v>
      </c>
      <c r="M101" s="80"/>
      <c r="N101" s="80"/>
      <c r="O101" s="80">
        <f>O105+O107</f>
        <v>5791600</v>
      </c>
      <c r="P101" s="80">
        <f t="shared" si="0"/>
        <v>13089000</v>
      </c>
      <c r="R101" s="59"/>
      <c r="S101" s="59"/>
    </row>
    <row r="102" spans="1:19" ht="18.75">
      <c r="A102" s="10" t="s">
        <v>56</v>
      </c>
      <c r="B102" s="10"/>
      <c r="C102" s="42" t="s">
        <v>57</v>
      </c>
      <c r="D102" s="81">
        <f>D103+D104</f>
        <v>860000</v>
      </c>
      <c r="E102" s="81">
        <f>E103+E104</f>
        <v>860000</v>
      </c>
      <c r="F102" s="81"/>
      <c r="G102" s="81"/>
      <c r="H102" s="81"/>
      <c r="I102" s="81"/>
      <c r="J102" s="81"/>
      <c r="K102" s="82"/>
      <c r="L102" s="81"/>
      <c r="M102" s="81"/>
      <c r="N102" s="81"/>
      <c r="O102" s="81"/>
      <c r="P102" s="81">
        <f t="shared" si="0"/>
        <v>860000</v>
      </c>
    </row>
    <row r="103" spans="1:19" s="7" customFormat="1" ht="30.75">
      <c r="A103" s="9" t="s">
        <v>58</v>
      </c>
      <c r="B103" s="9" t="s">
        <v>59</v>
      </c>
      <c r="C103" s="40" t="s">
        <v>60</v>
      </c>
      <c r="D103" s="87">
        <f>E103+H103</f>
        <v>560000</v>
      </c>
      <c r="E103" s="87">
        <f>263300+296700</f>
        <v>560000</v>
      </c>
      <c r="F103" s="87"/>
      <c r="G103" s="87"/>
      <c r="H103" s="87"/>
      <c r="I103" s="87"/>
      <c r="J103" s="87"/>
      <c r="K103" s="88"/>
      <c r="L103" s="87"/>
      <c r="M103" s="87"/>
      <c r="N103" s="87"/>
      <c r="O103" s="87"/>
      <c r="P103" s="81">
        <f t="shared" si="0"/>
        <v>560000</v>
      </c>
      <c r="R103" s="60"/>
      <c r="S103" s="60"/>
    </row>
    <row r="104" spans="1:19" s="7" customFormat="1" ht="30.75">
      <c r="A104" s="9" t="s">
        <v>109</v>
      </c>
      <c r="B104" s="9" t="s">
        <v>59</v>
      </c>
      <c r="C104" s="40" t="s">
        <v>110</v>
      </c>
      <c r="D104" s="87">
        <f>E104+H104</f>
        <v>300000</v>
      </c>
      <c r="E104" s="87">
        <f>190000+110000</f>
        <v>300000</v>
      </c>
      <c r="F104" s="87"/>
      <c r="G104" s="87"/>
      <c r="H104" s="87"/>
      <c r="I104" s="87"/>
      <c r="J104" s="87"/>
      <c r="K104" s="88"/>
      <c r="L104" s="87"/>
      <c r="M104" s="87"/>
      <c r="N104" s="87"/>
      <c r="O104" s="87"/>
      <c r="P104" s="87">
        <f>D104+I104</f>
        <v>300000</v>
      </c>
      <c r="R104" s="60"/>
      <c r="S104" s="60"/>
    </row>
    <row r="105" spans="1:19" ht="34.5" customHeight="1">
      <c r="A105" s="10" t="s">
        <v>113</v>
      </c>
      <c r="B105" s="10"/>
      <c r="C105" s="11" t="s">
        <v>112</v>
      </c>
      <c r="D105" s="81">
        <f>D106</f>
        <v>5539300</v>
      </c>
      <c r="E105" s="81">
        <f>E106</f>
        <v>5539300</v>
      </c>
      <c r="F105" s="81">
        <f>F106</f>
        <v>4181500</v>
      </c>
      <c r="G105" s="81">
        <f>G106</f>
        <v>394450</v>
      </c>
      <c r="H105" s="81"/>
      <c r="I105" s="81">
        <f>L105+O105</f>
        <v>5901600</v>
      </c>
      <c r="J105" s="81">
        <f>J106</f>
        <v>5791600</v>
      </c>
      <c r="K105" s="82">
        <f>K106</f>
        <v>5791600</v>
      </c>
      <c r="L105" s="81">
        <f>L106</f>
        <v>110000</v>
      </c>
      <c r="M105" s="81"/>
      <c r="N105" s="81"/>
      <c r="O105" s="81">
        <f>O106</f>
        <v>5791600</v>
      </c>
      <c r="P105" s="81">
        <f>P106</f>
        <v>11440900</v>
      </c>
    </row>
    <row r="106" spans="1:19" s="7" customFormat="1" ht="46.5" customHeight="1">
      <c r="A106" s="9" t="s">
        <v>114</v>
      </c>
      <c r="B106" s="9" t="s">
        <v>59</v>
      </c>
      <c r="C106" s="40" t="s">
        <v>117</v>
      </c>
      <c r="D106" s="87">
        <f>E106+H106</f>
        <v>5539300</v>
      </c>
      <c r="E106" s="87">
        <f>5189300-50000+400000</f>
        <v>5539300</v>
      </c>
      <c r="F106" s="87">
        <v>4181500</v>
      </c>
      <c r="G106" s="87">
        <v>394450</v>
      </c>
      <c r="H106" s="87"/>
      <c r="I106" s="87">
        <f>L106+O106</f>
        <v>5901600</v>
      </c>
      <c r="J106" s="87">
        <v>5791600</v>
      </c>
      <c r="K106" s="88">
        <v>5791600</v>
      </c>
      <c r="L106" s="87">
        <v>110000</v>
      </c>
      <c r="M106" s="87"/>
      <c r="N106" s="87"/>
      <c r="O106" s="87">
        <v>5791600</v>
      </c>
      <c r="P106" s="87">
        <f>D106+I106</f>
        <v>11440900</v>
      </c>
      <c r="R106" s="60"/>
      <c r="S106" s="60"/>
    </row>
    <row r="107" spans="1:19" ht="36.75" customHeight="1">
      <c r="A107" s="10" t="s">
        <v>118</v>
      </c>
      <c r="B107" s="10"/>
      <c r="C107" s="42" t="s">
        <v>119</v>
      </c>
      <c r="D107" s="81">
        <f>D108</f>
        <v>788100</v>
      </c>
      <c r="E107" s="81">
        <f>E108</f>
        <v>788100</v>
      </c>
      <c r="F107" s="81"/>
      <c r="G107" s="81"/>
      <c r="H107" s="81"/>
      <c r="I107" s="81">
        <f>I108</f>
        <v>0</v>
      </c>
      <c r="J107" s="81">
        <f>J108</f>
        <v>0</v>
      </c>
      <c r="K107" s="82">
        <f>K108</f>
        <v>0</v>
      </c>
      <c r="L107" s="81"/>
      <c r="M107" s="81"/>
      <c r="N107" s="81"/>
      <c r="O107" s="81">
        <f>O108</f>
        <v>0</v>
      </c>
      <c r="P107" s="81">
        <f>D107+I107</f>
        <v>788100</v>
      </c>
    </row>
    <row r="108" spans="1:19" ht="60.75">
      <c r="A108" s="9" t="s">
        <v>120</v>
      </c>
      <c r="B108" s="9" t="s">
        <v>59</v>
      </c>
      <c r="C108" s="43" t="s">
        <v>121</v>
      </c>
      <c r="D108" s="81">
        <f>E108+H108</f>
        <v>788100</v>
      </c>
      <c r="E108" s="81">
        <f>544800+593300-350000</f>
        <v>788100</v>
      </c>
      <c r="F108" s="81"/>
      <c r="G108" s="81"/>
      <c r="H108" s="81"/>
      <c r="I108" s="81"/>
      <c r="J108" s="81"/>
      <c r="K108" s="82"/>
      <c r="L108" s="81"/>
      <c r="M108" s="81"/>
      <c r="N108" s="81"/>
      <c r="O108" s="81"/>
      <c r="P108" s="87">
        <f>D108</f>
        <v>788100</v>
      </c>
    </row>
    <row r="109" spans="1:19" ht="21" customHeight="1">
      <c r="A109" s="15" t="s">
        <v>46</v>
      </c>
      <c r="B109" s="10"/>
      <c r="C109" s="16" t="s">
        <v>8</v>
      </c>
      <c r="D109" s="80">
        <f>D110+D117+D118</f>
        <v>54597850</v>
      </c>
      <c r="E109" s="80">
        <f>E110+E117+E118</f>
        <v>54597850</v>
      </c>
      <c r="F109" s="80">
        <f t="shared" ref="F109:O109" si="18">F110+F117+F118</f>
        <v>0</v>
      </c>
      <c r="G109" s="80">
        <f t="shared" si="18"/>
        <v>0</v>
      </c>
      <c r="H109" s="80"/>
      <c r="I109" s="80">
        <f>I110+I117+I118</f>
        <v>68335291.519999996</v>
      </c>
      <c r="J109" s="80">
        <f>J110+J117+J118</f>
        <v>68335291.519999996</v>
      </c>
      <c r="K109" s="86">
        <f>K110+K117+K118</f>
        <v>62084076.32</v>
      </c>
      <c r="L109" s="80">
        <f t="shared" si="18"/>
        <v>0</v>
      </c>
      <c r="M109" s="80">
        <f t="shared" si="18"/>
        <v>0</v>
      </c>
      <c r="N109" s="80">
        <f t="shared" si="18"/>
        <v>0</v>
      </c>
      <c r="O109" s="80">
        <f t="shared" si="18"/>
        <v>68335291.519999996</v>
      </c>
      <c r="P109" s="80">
        <f t="shared" si="0"/>
        <v>122933141.52</v>
      </c>
    </row>
    <row r="110" spans="1:19" s="44" customFormat="1" ht="53.25" customHeight="1">
      <c r="A110" s="30" t="s">
        <v>47</v>
      </c>
      <c r="B110" s="30"/>
      <c r="C110" s="18" t="s">
        <v>226</v>
      </c>
      <c r="D110" s="80">
        <f>D111+D112+D113+D114+D115+D116</f>
        <v>2379830</v>
      </c>
      <c r="E110" s="80">
        <f>E111+E112+E113+E114+E115+E116</f>
        <v>2379830</v>
      </c>
      <c r="F110" s="80">
        <f t="shared" ref="F110:O110" si="19">F111+F112+F113+F114+F115+F116</f>
        <v>0</v>
      </c>
      <c r="G110" s="80">
        <f t="shared" si="19"/>
        <v>0</v>
      </c>
      <c r="H110" s="80"/>
      <c r="I110" s="80">
        <f t="shared" si="19"/>
        <v>41578658.32</v>
      </c>
      <c r="J110" s="80">
        <f>J111+J112+J113+J114+J115+J116</f>
        <v>41578658.32</v>
      </c>
      <c r="K110" s="86">
        <f>K111+K112+K113+K114+K115+K116</f>
        <v>40453608.32</v>
      </c>
      <c r="L110" s="80">
        <f t="shared" si="19"/>
        <v>0</v>
      </c>
      <c r="M110" s="80">
        <f t="shared" si="19"/>
        <v>0</v>
      </c>
      <c r="N110" s="80">
        <f t="shared" si="19"/>
        <v>0</v>
      </c>
      <c r="O110" s="80">
        <f t="shared" si="19"/>
        <v>41578658.32</v>
      </c>
      <c r="P110" s="80">
        <f>D110+I110</f>
        <v>43958488.32</v>
      </c>
      <c r="R110" s="70"/>
      <c r="S110" s="70"/>
    </row>
    <row r="111" spans="1:19" ht="32.25">
      <c r="A111" s="9" t="s">
        <v>167</v>
      </c>
      <c r="B111" s="9" t="s">
        <v>203</v>
      </c>
      <c r="C111" s="8" t="s">
        <v>227</v>
      </c>
      <c r="D111" s="87">
        <f>E111+H111</f>
        <v>929030</v>
      </c>
      <c r="E111" s="87">
        <f>400000+120000+409030</f>
        <v>929030</v>
      </c>
      <c r="F111" s="87"/>
      <c r="G111" s="87"/>
      <c r="H111" s="87"/>
      <c r="I111" s="87">
        <f t="shared" ref="I111:I116" si="20">O111+L111</f>
        <v>19103858.32</v>
      </c>
      <c r="J111" s="87">
        <f>10850000+8253858.32</f>
        <v>19103858.32</v>
      </c>
      <c r="K111" s="88">
        <f>10850000+7128808.32</f>
        <v>17978808.32</v>
      </c>
      <c r="L111" s="87"/>
      <c r="M111" s="87"/>
      <c r="N111" s="87"/>
      <c r="O111" s="87">
        <f>10850000+8253858.32</f>
        <v>19103858.32</v>
      </c>
      <c r="P111" s="87">
        <f>D111+I111</f>
        <v>20032888.32</v>
      </c>
    </row>
    <row r="112" spans="1:19" ht="49.5" customHeight="1">
      <c r="A112" s="9" t="s">
        <v>171</v>
      </c>
      <c r="B112" s="9" t="s">
        <v>49</v>
      </c>
      <c r="C112" s="25" t="s">
        <v>170</v>
      </c>
      <c r="D112" s="87">
        <f>E112+H112</f>
        <v>370800</v>
      </c>
      <c r="E112" s="87">
        <f>2500000-2129200</f>
        <v>370800</v>
      </c>
      <c r="F112" s="87"/>
      <c r="G112" s="87"/>
      <c r="H112" s="87"/>
      <c r="I112" s="87">
        <f t="shared" si="20"/>
        <v>5629200</v>
      </c>
      <c r="J112" s="87">
        <f>3500000+2129200</f>
        <v>5629200</v>
      </c>
      <c r="K112" s="88">
        <f>3500000+2129200</f>
        <v>5629200</v>
      </c>
      <c r="L112" s="87"/>
      <c r="M112" s="87"/>
      <c r="N112" s="87"/>
      <c r="O112" s="87">
        <f>3500000+2129200</f>
        <v>5629200</v>
      </c>
      <c r="P112" s="87">
        <f t="shared" ref="P112:P118" si="21">D112+I112</f>
        <v>6000000</v>
      </c>
    </row>
    <row r="113" spans="1:19" ht="32.25">
      <c r="A113" s="9" t="s">
        <v>168</v>
      </c>
      <c r="B113" s="9" t="s">
        <v>49</v>
      </c>
      <c r="C113" s="8" t="s">
        <v>169</v>
      </c>
      <c r="D113" s="87">
        <f>E113+H113</f>
        <v>590000</v>
      </c>
      <c r="E113" s="87">
        <v>590000</v>
      </c>
      <c r="F113" s="87"/>
      <c r="G113" s="87"/>
      <c r="H113" s="87"/>
      <c r="I113" s="87">
        <f t="shared" si="20"/>
        <v>2000000</v>
      </c>
      <c r="J113" s="87">
        <v>2000000</v>
      </c>
      <c r="K113" s="88">
        <v>2000000</v>
      </c>
      <c r="L113" s="87"/>
      <c r="M113" s="87"/>
      <c r="N113" s="87"/>
      <c r="O113" s="87">
        <v>2000000</v>
      </c>
      <c r="P113" s="87">
        <f t="shared" si="21"/>
        <v>2590000</v>
      </c>
    </row>
    <row r="114" spans="1:19" ht="32.25">
      <c r="A114" s="9" t="s">
        <v>201</v>
      </c>
      <c r="B114" s="9" t="s">
        <v>49</v>
      </c>
      <c r="C114" s="8" t="s">
        <v>202</v>
      </c>
      <c r="D114" s="87">
        <f>E114+H114</f>
        <v>190000</v>
      </c>
      <c r="E114" s="87">
        <f>400000-210000</f>
        <v>190000</v>
      </c>
      <c r="F114" s="87"/>
      <c r="G114" s="87"/>
      <c r="H114" s="87"/>
      <c r="I114" s="87">
        <f t="shared" si="20"/>
        <v>10180000</v>
      </c>
      <c r="J114" s="87">
        <f>10000000+180000</f>
        <v>10180000</v>
      </c>
      <c r="K114" s="88">
        <f>10000000+180000</f>
        <v>10180000</v>
      </c>
      <c r="L114" s="87"/>
      <c r="M114" s="87"/>
      <c r="N114" s="87"/>
      <c r="O114" s="87">
        <f>10000000+180000</f>
        <v>10180000</v>
      </c>
      <c r="P114" s="87">
        <f t="shared" si="21"/>
        <v>10370000</v>
      </c>
    </row>
    <row r="115" spans="1:19" s="28" customFormat="1" ht="48">
      <c r="A115" s="9" t="s">
        <v>265</v>
      </c>
      <c r="B115" s="9" t="s">
        <v>49</v>
      </c>
      <c r="C115" s="8" t="s">
        <v>266</v>
      </c>
      <c r="D115" s="87"/>
      <c r="E115" s="87"/>
      <c r="F115" s="87"/>
      <c r="G115" s="87"/>
      <c r="H115" s="87"/>
      <c r="I115" s="87">
        <f t="shared" si="20"/>
        <v>3175600</v>
      </c>
      <c r="J115" s="87">
        <v>3175600</v>
      </c>
      <c r="K115" s="88">
        <v>3175600</v>
      </c>
      <c r="L115" s="87"/>
      <c r="M115" s="87"/>
      <c r="N115" s="87"/>
      <c r="O115" s="87">
        <v>3175600</v>
      </c>
      <c r="P115" s="87">
        <f t="shared" si="21"/>
        <v>3175600</v>
      </c>
      <c r="R115" s="23"/>
      <c r="S115" s="23"/>
    </row>
    <row r="116" spans="1:19" s="28" customFormat="1" ht="46.5" customHeight="1">
      <c r="A116" s="9" t="s">
        <v>267</v>
      </c>
      <c r="B116" s="9" t="s">
        <v>49</v>
      </c>
      <c r="C116" s="8" t="s">
        <v>268</v>
      </c>
      <c r="D116" s="87">
        <f>E116+H116</f>
        <v>300000</v>
      </c>
      <c r="E116" s="87">
        <f>200000+100000</f>
        <v>300000</v>
      </c>
      <c r="F116" s="87"/>
      <c r="G116" s="87"/>
      <c r="H116" s="87"/>
      <c r="I116" s="87">
        <f t="shared" si="20"/>
        <v>1490000</v>
      </c>
      <c r="J116" s="87">
        <f>1340000+150000</f>
        <v>1490000</v>
      </c>
      <c r="K116" s="88">
        <f>1340000+150000</f>
        <v>1490000</v>
      </c>
      <c r="L116" s="87"/>
      <c r="M116" s="87"/>
      <c r="N116" s="87"/>
      <c r="O116" s="87">
        <f>1340000+150000</f>
        <v>1490000</v>
      </c>
      <c r="P116" s="87">
        <f t="shared" si="21"/>
        <v>1790000</v>
      </c>
      <c r="R116" s="23"/>
      <c r="S116" s="23"/>
    </row>
    <row r="117" spans="1:19" s="44" customFormat="1" ht="38.25" customHeight="1">
      <c r="A117" s="30" t="s">
        <v>48</v>
      </c>
      <c r="B117" s="30" t="s">
        <v>49</v>
      </c>
      <c r="C117" s="79" t="s">
        <v>159</v>
      </c>
      <c r="D117" s="83">
        <f>E117+H117</f>
        <v>52218020</v>
      </c>
      <c r="E117" s="83">
        <f>1937000+504700+2016000+44785400+210000+2764920</f>
        <v>52218020</v>
      </c>
      <c r="F117" s="83"/>
      <c r="G117" s="83"/>
      <c r="H117" s="83"/>
      <c r="I117" s="83">
        <f>O117</f>
        <v>26556633.199999999</v>
      </c>
      <c r="J117" s="83">
        <f>17240000+9316633.2</f>
        <v>26556633.199999999</v>
      </c>
      <c r="K117" s="89">
        <f>15440000+5990468</f>
        <v>21430468</v>
      </c>
      <c r="L117" s="83"/>
      <c r="M117" s="83"/>
      <c r="N117" s="83"/>
      <c r="O117" s="83">
        <f>17240000+9316633.2</f>
        <v>26556633.199999999</v>
      </c>
      <c r="P117" s="80">
        <f t="shared" si="21"/>
        <v>78774653.200000003</v>
      </c>
      <c r="R117" s="70"/>
      <c r="S117" s="70"/>
    </row>
    <row r="118" spans="1:19" s="12" customFormat="1" ht="32.25">
      <c r="A118" s="15" t="s">
        <v>212</v>
      </c>
      <c r="B118" s="15" t="s">
        <v>203</v>
      </c>
      <c r="C118" s="27" t="s">
        <v>213</v>
      </c>
      <c r="D118" s="80"/>
      <c r="E118" s="80"/>
      <c r="F118" s="80"/>
      <c r="G118" s="80"/>
      <c r="H118" s="80"/>
      <c r="I118" s="80">
        <f>L118+O118</f>
        <v>200000</v>
      </c>
      <c r="J118" s="80">
        <v>200000</v>
      </c>
      <c r="K118" s="86">
        <v>200000</v>
      </c>
      <c r="L118" s="80"/>
      <c r="M118" s="80"/>
      <c r="N118" s="80"/>
      <c r="O118" s="80">
        <v>200000</v>
      </c>
      <c r="P118" s="80">
        <f t="shared" si="21"/>
        <v>200000</v>
      </c>
      <c r="R118" s="128"/>
      <c r="S118" s="128"/>
    </row>
    <row r="119" spans="1:19" s="14" customFormat="1" ht="25.5" customHeight="1">
      <c r="A119" s="15" t="s">
        <v>155</v>
      </c>
      <c r="B119" s="10"/>
      <c r="C119" s="16" t="s">
        <v>156</v>
      </c>
      <c r="D119" s="80">
        <f>D120+D122+D126+D130</f>
        <v>25775174</v>
      </c>
      <c r="E119" s="80">
        <f>E120+E122+E126+E130</f>
        <v>25526200</v>
      </c>
      <c r="F119" s="80"/>
      <c r="G119" s="80"/>
      <c r="H119" s="80">
        <f>H121+H124</f>
        <v>248974</v>
      </c>
      <c r="I119" s="83">
        <f>L119+O119</f>
        <v>106447486.94999999</v>
      </c>
      <c r="J119" s="80">
        <f>J120+J122+J126+J130</f>
        <v>100224815.88999999</v>
      </c>
      <c r="K119" s="86">
        <f t="shared" ref="K119:O119" si="22">K120+K122+K126+K130</f>
        <v>61254031.890000001</v>
      </c>
      <c r="L119" s="80">
        <f t="shared" si="22"/>
        <v>44000</v>
      </c>
      <c r="M119" s="80">
        <f t="shared" si="22"/>
        <v>0</v>
      </c>
      <c r="N119" s="80">
        <f t="shared" si="22"/>
        <v>0</v>
      </c>
      <c r="O119" s="80">
        <f t="shared" si="22"/>
        <v>106403486.94999999</v>
      </c>
      <c r="P119" s="83">
        <f>D119+I119</f>
        <v>132222660.94999999</v>
      </c>
      <c r="R119" s="71"/>
      <c r="S119" s="71"/>
    </row>
    <row r="120" spans="1:19" s="17" customFormat="1" ht="30">
      <c r="A120" s="15" t="s">
        <v>153</v>
      </c>
      <c r="B120" s="15"/>
      <c r="C120" s="39" t="s">
        <v>258</v>
      </c>
      <c r="D120" s="83">
        <f>D121</f>
        <v>380000</v>
      </c>
      <c r="E120" s="83">
        <f>E121</f>
        <v>300000</v>
      </c>
      <c r="F120" s="83"/>
      <c r="G120" s="83"/>
      <c r="H120" s="83"/>
      <c r="I120" s="83">
        <f>L120+O120</f>
        <v>200140</v>
      </c>
      <c r="J120" s="83">
        <f t="shared" ref="J120:O120" si="23">J121</f>
        <v>200140</v>
      </c>
      <c r="K120" s="89">
        <f t="shared" si="23"/>
        <v>200140</v>
      </c>
      <c r="L120" s="83">
        <f t="shared" si="23"/>
        <v>0</v>
      </c>
      <c r="M120" s="83">
        <f t="shared" si="23"/>
        <v>0</v>
      </c>
      <c r="N120" s="83">
        <f t="shared" si="23"/>
        <v>0</v>
      </c>
      <c r="O120" s="83">
        <f t="shared" si="23"/>
        <v>200140</v>
      </c>
      <c r="P120" s="83">
        <f>D120+I120</f>
        <v>580140</v>
      </c>
      <c r="R120" s="59"/>
      <c r="S120" s="59"/>
    </row>
    <row r="121" spans="1:19" s="7" customFormat="1" ht="18.75">
      <c r="A121" s="10" t="s">
        <v>175</v>
      </c>
      <c r="B121" s="10" t="s">
        <v>122</v>
      </c>
      <c r="C121" s="35" t="s">
        <v>154</v>
      </c>
      <c r="D121" s="90">
        <f>E121+H121</f>
        <v>380000</v>
      </c>
      <c r="E121" s="90">
        <v>300000</v>
      </c>
      <c r="F121" s="90"/>
      <c r="G121" s="90"/>
      <c r="H121" s="90">
        <v>80000</v>
      </c>
      <c r="I121" s="90">
        <f>L121+O121</f>
        <v>200140</v>
      </c>
      <c r="J121" s="90">
        <f>100000+100140</f>
        <v>200140</v>
      </c>
      <c r="K121" s="91">
        <f>100000+100140</f>
        <v>200140</v>
      </c>
      <c r="L121" s="90"/>
      <c r="M121" s="90"/>
      <c r="N121" s="90"/>
      <c r="O121" s="90">
        <f>100000+100140</f>
        <v>200140</v>
      </c>
      <c r="P121" s="90">
        <f>D121+I121</f>
        <v>580140</v>
      </c>
      <c r="R121" s="60"/>
      <c r="S121" s="60"/>
    </row>
    <row r="122" spans="1:19" ht="24.75" customHeight="1">
      <c r="A122" s="15" t="s">
        <v>123</v>
      </c>
      <c r="B122" s="10"/>
      <c r="C122" s="16" t="s">
        <v>157</v>
      </c>
      <c r="D122" s="80">
        <f>D123+D124+D125</f>
        <v>658974</v>
      </c>
      <c r="E122" s="80">
        <f>E123+E124+E125</f>
        <v>490000</v>
      </c>
      <c r="F122" s="80"/>
      <c r="G122" s="80"/>
      <c r="H122" s="80"/>
      <c r="I122" s="80">
        <f>L122+O122</f>
        <v>74953656.599999994</v>
      </c>
      <c r="J122" s="80">
        <f>J123+J124+J125</f>
        <v>74953656.599999994</v>
      </c>
      <c r="K122" s="86">
        <f>K123+K124+K125</f>
        <v>37819156.600000001</v>
      </c>
      <c r="L122" s="80">
        <f>L125</f>
        <v>0</v>
      </c>
      <c r="M122" s="80">
        <f>M125</f>
        <v>0</v>
      </c>
      <c r="N122" s="80">
        <f>N125</f>
        <v>0</v>
      </c>
      <c r="O122" s="80">
        <f>O123+O124+O125</f>
        <v>74953656.599999994</v>
      </c>
      <c r="P122" s="80">
        <f>D122+I122</f>
        <v>75612630.599999994</v>
      </c>
    </row>
    <row r="123" spans="1:19" s="140" customFormat="1" ht="30.75" hidden="1">
      <c r="A123" s="139" t="s">
        <v>124</v>
      </c>
      <c r="B123" s="139" t="s">
        <v>62</v>
      </c>
      <c r="C123" s="142" t="s">
        <v>158</v>
      </c>
      <c r="D123" s="154"/>
      <c r="E123" s="154"/>
      <c r="F123" s="154"/>
      <c r="G123" s="154"/>
      <c r="H123" s="154"/>
      <c r="I123" s="154">
        <f>O123</f>
        <v>0</v>
      </c>
      <c r="J123" s="154"/>
      <c r="K123" s="82"/>
      <c r="L123" s="154"/>
      <c r="M123" s="154"/>
      <c r="N123" s="154"/>
      <c r="O123" s="154"/>
      <c r="P123" s="154">
        <f>D123+I123</f>
        <v>0</v>
      </c>
      <c r="R123" s="141"/>
      <c r="S123" s="141"/>
    </row>
    <row r="124" spans="1:19" ht="32.25">
      <c r="A124" s="10" t="s">
        <v>211</v>
      </c>
      <c r="B124" s="10" t="s">
        <v>62</v>
      </c>
      <c r="C124" s="21" t="s">
        <v>257</v>
      </c>
      <c r="D124" s="81">
        <f>E124+H124</f>
        <v>658974</v>
      </c>
      <c r="E124" s="81">
        <f>400000+90000</f>
        <v>490000</v>
      </c>
      <c r="F124" s="81"/>
      <c r="G124" s="81"/>
      <c r="H124" s="81">
        <v>168974</v>
      </c>
      <c r="I124" s="81">
        <f>O124</f>
        <v>0</v>
      </c>
      <c r="J124" s="81"/>
      <c r="K124" s="82"/>
      <c r="L124" s="81"/>
      <c r="M124" s="81"/>
      <c r="N124" s="81"/>
      <c r="O124" s="81"/>
      <c r="P124" s="81">
        <f t="shared" ref="P124:P155" si="24">D124+I124</f>
        <v>658974</v>
      </c>
    </row>
    <row r="125" spans="1:19" s="13" customFormat="1" ht="32.25">
      <c r="A125" s="10" t="s">
        <v>234</v>
      </c>
      <c r="B125" s="10" t="s">
        <v>61</v>
      </c>
      <c r="C125" s="20" t="s">
        <v>176</v>
      </c>
      <c r="D125" s="90"/>
      <c r="E125" s="90"/>
      <c r="F125" s="90"/>
      <c r="G125" s="90"/>
      <c r="H125" s="90"/>
      <c r="I125" s="81">
        <f>O125</f>
        <v>74953656.599999994</v>
      </c>
      <c r="J125" s="81">
        <f>1500000+7000000+55545900+1625000+6363700+2919056.6</f>
        <v>74953656.599999994</v>
      </c>
      <c r="K125" s="82">
        <f>1500000+500000+26911400+1625000+6363700+919056.6</f>
        <v>37819156.600000001</v>
      </c>
      <c r="L125" s="90"/>
      <c r="M125" s="90"/>
      <c r="N125" s="90"/>
      <c r="O125" s="81">
        <f>1500000+7000000+55545900+1625000+6363700+2919056.6</f>
        <v>74953656.599999994</v>
      </c>
      <c r="P125" s="81">
        <f t="shared" si="24"/>
        <v>74953656.599999994</v>
      </c>
      <c r="R125" s="61"/>
      <c r="S125" s="61"/>
    </row>
    <row r="126" spans="1:19" ht="30">
      <c r="A126" s="15" t="s">
        <v>66</v>
      </c>
      <c r="B126" s="10"/>
      <c r="C126" s="16" t="s">
        <v>147</v>
      </c>
      <c r="D126" s="80">
        <f>D127</f>
        <v>16500000</v>
      </c>
      <c r="E126" s="80">
        <f>E127</f>
        <v>16500000</v>
      </c>
      <c r="F126" s="80"/>
      <c r="G126" s="80"/>
      <c r="H126" s="80"/>
      <c r="I126" s="80">
        <f t="shared" ref="I126" si="25">I128</f>
        <v>16680000</v>
      </c>
      <c r="J126" s="80">
        <f>J128+J129</f>
        <v>17537395.289999999</v>
      </c>
      <c r="K126" s="86">
        <f t="shared" ref="K126:O126" si="26">K128+K129</f>
        <v>17537395.289999999</v>
      </c>
      <c r="L126" s="80">
        <f t="shared" si="26"/>
        <v>44000</v>
      </c>
      <c r="M126" s="80">
        <f t="shared" si="26"/>
        <v>0</v>
      </c>
      <c r="N126" s="80">
        <f t="shared" si="26"/>
        <v>0</v>
      </c>
      <c r="O126" s="80">
        <f t="shared" si="26"/>
        <v>17636000</v>
      </c>
      <c r="P126" s="80">
        <f t="shared" si="24"/>
        <v>33180000</v>
      </c>
    </row>
    <row r="127" spans="1:19" ht="30.75">
      <c r="A127" s="10" t="s">
        <v>148</v>
      </c>
      <c r="B127" s="10"/>
      <c r="C127" s="24" t="s">
        <v>149</v>
      </c>
      <c r="D127" s="81">
        <f>D128</f>
        <v>16500000</v>
      </c>
      <c r="E127" s="81">
        <f>E128</f>
        <v>16500000</v>
      </c>
      <c r="F127" s="81"/>
      <c r="G127" s="81"/>
      <c r="H127" s="81"/>
      <c r="I127" s="81">
        <f>L127+O127</f>
        <v>17680000</v>
      </c>
      <c r="J127" s="81">
        <f>J128+J129</f>
        <v>17537395.289999999</v>
      </c>
      <c r="K127" s="82">
        <f t="shared" ref="K127:O127" si="27">K128+K129</f>
        <v>17537395.289999999</v>
      </c>
      <c r="L127" s="81">
        <f t="shared" si="27"/>
        <v>44000</v>
      </c>
      <c r="M127" s="81">
        <f t="shared" si="27"/>
        <v>0</v>
      </c>
      <c r="N127" s="81">
        <f t="shared" si="27"/>
        <v>0</v>
      </c>
      <c r="O127" s="81">
        <f t="shared" si="27"/>
        <v>17636000</v>
      </c>
      <c r="P127" s="84">
        <f>D127+I127</f>
        <v>34180000</v>
      </c>
    </row>
    <row r="128" spans="1:19" s="13" customFormat="1" ht="48">
      <c r="A128" s="9" t="s">
        <v>151</v>
      </c>
      <c r="B128" s="9" t="s">
        <v>65</v>
      </c>
      <c r="C128" s="8" t="s">
        <v>150</v>
      </c>
      <c r="D128" s="90">
        <f>E128+H128</f>
        <v>16500000</v>
      </c>
      <c r="E128" s="90">
        <v>16500000</v>
      </c>
      <c r="F128" s="90"/>
      <c r="G128" s="90"/>
      <c r="H128" s="90"/>
      <c r="I128" s="90">
        <f>L128+O128</f>
        <v>16680000</v>
      </c>
      <c r="J128" s="90">
        <f>15590000+947395.29</f>
        <v>16537395.289999999</v>
      </c>
      <c r="K128" s="91">
        <f>15590000+947395.29</f>
        <v>16537395.289999999</v>
      </c>
      <c r="L128" s="90">
        <v>44000</v>
      </c>
      <c r="M128" s="90"/>
      <c r="N128" s="90"/>
      <c r="O128" s="90">
        <f>15590000+1046000</f>
        <v>16636000</v>
      </c>
      <c r="P128" s="90">
        <f t="shared" si="24"/>
        <v>33180000</v>
      </c>
      <c r="R128" s="61"/>
      <c r="S128" s="61"/>
    </row>
    <row r="129" spans="1:19" s="13" customFormat="1" ht="48">
      <c r="A129" s="9" t="s">
        <v>291</v>
      </c>
      <c r="B129" s="9" t="s">
        <v>65</v>
      </c>
      <c r="C129" s="8" t="s">
        <v>293</v>
      </c>
      <c r="D129" s="90"/>
      <c r="E129" s="90"/>
      <c r="F129" s="90"/>
      <c r="G129" s="90"/>
      <c r="H129" s="90"/>
      <c r="I129" s="90">
        <f>L129+O129</f>
        <v>1000000</v>
      </c>
      <c r="J129" s="90">
        <v>1000000</v>
      </c>
      <c r="K129" s="91">
        <v>1000000</v>
      </c>
      <c r="L129" s="90"/>
      <c r="M129" s="90"/>
      <c r="N129" s="90"/>
      <c r="O129" s="90">
        <v>1000000</v>
      </c>
      <c r="P129" s="90">
        <f t="shared" si="24"/>
        <v>1000000</v>
      </c>
      <c r="R129" s="61"/>
      <c r="S129" s="61"/>
    </row>
    <row r="130" spans="1:19" ht="32.25">
      <c r="A130" s="15" t="s">
        <v>177</v>
      </c>
      <c r="B130" s="9"/>
      <c r="C130" s="27" t="s">
        <v>178</v>
      </c>
      <c r="D130" s="80">
        <f t="shared" ref="D130:O130" si="28">D131+D132+D133+D134+D135+D136+D137</f>
        <v>8236200</v>
      </c>
      <c r="E130" s="80">
        <f t="shared" si="28"/>
        <v>8236200</v>
      </c>
      <c r="F130" s="80">
        <f t="shared" si="28"/>
        <v>0</v>
      </c>
      <c r="G130" s="80">
        <f t="shared" si="28"/>
        <v>0</v>
      </c>
      <c r="H130" s="80">
        <f t="shared" si="28"/>
        <v>0</v>
      </c>
      <c r="I130" s="80">
        <f t="shared" si="28"/>
        <v>13613690.35</v>
      </c>
      <c r="J130" s="80">
        <f t="shared" si="28"/>
        <v>7533624</v>
      </c>
      <c r="K130" s="86">
        <f t="shared" si="28"/>
        <v>5697340</v>
      </c>
      <c r="L130" s="80">
        <f t="shared" si="28"/>
        <v>0</v>
      </c>
      <c r="M130" s="80">
        <f t="shared" si="28"/>
        <v>0</v>
      </c>
      <c r="N130" s="80">
        <f t="shared" si="28"/>
        <v>0</v>
      </c>
      <c r="O130" s="80">
        <f t="shared" si="28"/>
        <v>13613690.35</v>
      </c>
      <c r="P130" s="83">
        <f t="shared" si="24"/>
        <v>21849890.350000001</v>
      </c>
    </row>
    <row r="131" spans="1:19" ht="32.25">
      <c r="A131" s="10" t="s">
        <v>194</v>
      </c>
      <c r="B131" s="10" t="s">
        <v>195</v>
      </c>
      <c r="C131" s="20" t="s">
        <v>196</v>
      </c>
      <c r="D131" s="81">
        <f>E131+H131</f>
        <v>300000</v>
      </c>
      <c r="E131" s="81">
        <f>300000+500000-500000</f>
        <v>300000</v>
      </c>
      <c r="F131" s="81"/>
      <c r="G131" s="81"/>
      <c r="H131" s="81"/>
      <c r="I131" s="81"/>
      <c r="J131" s="81"/>
      <c r="K131" s="82"/>
      <c r="L131" s="81"/>
      <c r="M131" s="81"/>
      <c r="N131" s="81"/>
      <c r="O131" s="81"/>
      <c r="P131" s="81">
        <f t="shared" si="24"/>
        <v>300000</v>
      </c>
    </row>
    <row r="132" spans="1:19" ht="18.75">
      <c r="A132" s="10" t="s">
        <v>179</v>
      </c>
      <c r="B132" s="10" t="s">
        <v>67</v>
      </c>
      <c r="C132" s="6" t="s">
        <v>68</v>
      </c>
      <c r="D132" s="81">
        <f>E132+H132</f>
        <v>600000</v>
      </c>
      <c r="E132" s="81">
        <f>300000+300000</f>
        <v>600000</v>
      </c>
      <c r="F132" s="81"/>
      <c r="G132" s="81"/>
      <c r="H132" s="81"/>
      <c r="I132" s="81">
        <f>O132+L132</f>
        <v>6133624</v>
      </c>
      <c r="J132" s="81">
        <f>1200000+4933624</f>
        <v>6133624</v>
      </c>
      <c r="K132" s="82">
        <f>1200000+3097340</f>
        <v>4297340</v>
      </c>
      <c r="L132" s="81"/>
      <c r="M132" s="81"/>
      <c r="N132" s="81"/>
      <c r="O132" s="81">
        <f>1200000+4933624</f>
        <v>6133624</v>
      </c>
      <c r="P132" s="81">
        <f t="shared" si="24"/>
        <v>6733624</v>
      </c>
    </row>
    <row r="133" spans="1:19" ht="32.25">
      <c r="A133" s="10" t="s">
        <v>185</v>
      </c>
      <c r="B133" s="10" t="s">
        <v>61</v>
      </c>
      <c r="C133" s="6" t="s">
        <v>186</v>
      </c>
      <c r="D133" s="81"/>
      <c r="E133" s="81"/>
      <c r="F133" s="81"/>
      <c r="G133" s="81"/>
      <c r="H133" s="81"/>
      <c r="I133" s="81">
        <f>O133+L133</f>
        <v>300000</v>
      </c>
      <c r="J133" s="81">
        <v>300000</v>
      </c>
      <c r="K133" s="82">
        <v>300000</v>
      </c>
      <c r="L133" s="81"/>
      <c r="M133" s="81"/>
      <c r="N133" s="81"/>
      <c r="O133" s="81">
        <v>300000</v>
      </c>
      <c r="P133" s="81">
        <f t="shared" si="24"/>
        <v>300000</v>
      </c>
    </row>
    <row r="134" spans="1:19" ht="79.5">
      <c r="A134" s="10" t="s">
        <v>313</v>
      </c>
      <c r="B134" s="10" t="s">
        <v>61</v>
      </c>
      <c r="C134" s="6" t="s">
        <v>314</v>
      </c>
      <c r="D134" s="81"/>
      <c r="E134" s="81"/>
      <c r="F134" s="81"/>
      <c r="G134" s="81"/>
      <c r="H134" s="81"/>
      <c r="I134" s="81">
        <f>O134+L134</f>
        <v>300000</v>
      </c>
      <c r="J134" s="81">
        <v>300000</v>
      </c>
      <c r="K134" s="82">
        <v>300000</v>
      </c>
      <c r="L134" s="81"/>
      <c r="M134" s="81"/>
      <c r="N134" s="81"/>
      <c r="O134" s="81">
        <v>300000</v>
      </c>
      <c r="P134" s="81">
        <f t="shared" si="24"/>
        <v>300000</v>
      </c>
    </row>
    <row r="135" spans="1:19" ht="32.25">
      <c r="A135" s="10" t="s">
        <v>180</v>
      </c>
      <c r="B135" s="10" t="s">
        <v>61</v>
      </c>
      <c r="C135" s="21" t="s">
        <v>181</v>
      </c>
      <c r="D135" s="81"/>
      <c r="E135" s="81"/>
      <c r="F135" s="81"/>
      <c r="G135" s="81"/>
      <c r="H135" s="81"/>
      <c r="I135" s="81">
        <f>O135+L135</f>
        <v>100000</v>
      </c>
      <c r="J135" s="81">
        <v>100000</v>
      </c>
      <c r="K135" s="82">
        <v>100000</v>
      </c>
      <c r="L135" s="81"/>
      <c r="M135" s="81"/>
      <c r="N135" s="81"/>
      <c r="O135" s="81">
        <v>100000</v>
      </c>
      <c r="P135" s="81">
        <f>D135+I135</f>
        <v>100000</v>
      </c>
    </row>
    <row r="136" spans="1:19" ht="36" customHeight="1">
      <c r="A136" s="10" t="s">
        <v>192</v>
      </c>
      <c r="B136" s="10" t="s">
        <v>61</v>
      </c>
      <c r="C136" s="21" t="s">
        <v>193</v>
      </c>
      <c r="D136" s="81">
        <f>E136+H136</f>
        <v>36200</v>
      </c>
      <c r="E136" s="81">
        <v>36200</v>
      </c>
      <c r="F136" s="81"/>
      <c r="G136" s="81"/>
      <c r="H136" s="81"/>
      <c r="I136" s="81"/>
      <c r="J136" s="81"/>
      <c r="K136" s="82"/>
      <c r="L136" s="81"/>
      <c r="M136" s="81"/>
      <c r="N136" s="81"/>
      <c r="O136" s="81"/>
      <c r="P136" s="81">
        <f t="shared" si="24"/>
        <v>36200</v>
      </c>
    </row>
    <row r="137" spans="1:19" ht="26.25" customHeight="1">
      <c r="A137" s="10" t="s">
        <v>204</v>
      </c>
      <c r="B137" s="10"/>
      <c r="C137" s="21" t="s">
        <v>205</v>
      </c>
      <c r="D137" s="81">
        <f>D138+D139</f>
        <v>7300000</v>
      </c>
      <c r="E137" s="81">
        <f>E138+E139</f>
        <v>7300000</v>
      </c>
      <c r="F137" s="81"/>
      <c r="G137" s="81"/>
      <c r="H137" s="81"/>
      <c r="I137" s="81">
        <f t="shared" ref="I137:O137" si="29">I138+I139</f>
        <v>6780066.3499999996</v>
      </c>
      <c r="J137" s="81">
        <f t="shared" si="29"/>
        <v>700000</v>
      </c>
      <c r="K137" s="82">
        <f t="shared" si="29"/>
        <v>700000</v>
      </c>
      <c r="L137" s="81">
        <f t="shared" si="29"/>
        <v>0</v>
      </c>
      <c r="M137" s="81">
        <f t="shared" si="29"/>
        <v>0</v>
      </c>
      <c r="N137" s="81">
        <f t="shared" si="29"/>
        <v>0</v>
      </c>
      <c r="O137" s="81">
        <f t="shared" si="29"/>
        <v>6780066.3499999996</v>
      </c>
      <c r="P137" s="84">
        <f t="shared" si="24"/>
        <v>14080066.35</v>
      </c>
    </row>
    <row r="138" spans="1:19" s="49" customFormat="1" ht="131.25" customHeight="1">
      <c r="A138" s="9" t="s">
        <v>272</v>
      </c>
      <c r="B138" s="9" t="s">
        <v>61</v>
      </c>
      <c r="C138" s="29" t="s">
        <v>273</v>
      </c>
      <c r="D138" s="87"/>
      <c r="E138" s="87"/>
      <c r="F138" s="87"/>
      <c r="G138" s="87"/>
      <c r="H138" s="87"/>
      <c r="I138" s="87">
        <f>L138+O138</f>
        <v>6080066.3499999996</v>
      </c>
      <c r="J138" s="87"/>
      <c r="K138" s="88"/>
      <c r="L138" s="87"/>
      <c r="M138" s="87"/>
      <c r="N138" s="87"/>
      <c r="O138" s="87">
        <v>6080066.3499999996</v>
      </c>
      <c r="P138" s="90">
        <f t="shared" si="24"/>
        <v>6080066.3499999996</v>
      </c>
      <c r="R138" s="114"/>
      <c r="S138" s="114"/>
    </row>
    <row r="139" spans="1:19" s="51" customFormat="1" ht="36" customHeight="1">
      <c r="A139" s="50" t="s">
        <v>235</v>
      </c>
      <c r="B139" s="50" t="s">
        <v>61</v>
      </c>
      <c r="C139" s="25" t="s">
        <v>259</v>
      </c>
      <c r="D139" s="155">
        <f>E139+H139</f>
        <v>7300000</v>
      </c>
      <c r="E139" s="155">
        <f>4600000+5000000-2300000</f>
        <v>7300000</v>
      </c>
      <c r="F139" s="155"/>
      <c r="G139" s="155"/>
      <c r="H139" s="155"/>
      <c r="I139" s="155">
        <f>L139+O139</f>
        <v>700000</v>
      </c>
      <c r="J139" s="155">
        <f>200000+500000</f>
        <v>700000</v>
      </c>
      <c r="K139" s="159">
        <f>200000+500000</f>
        <v>700000</v>
      </c>
      <c r="L139" s="155">
        <v>0</v>
      </c>
      <c r="M139" s="155"/>
      <c r="N139" s="155"/>
      <c r="O139" s="155">
        <f>200000+500000</f>
        <v>700000</v>
      </c>
      <c r="P139" s="155">
        <f t="shared" si="24"/>
        <v>8000000</v>
      </c>
      <c r="R139" s="133"/>
      <c r="S139" s="133"/>
    </row>
    <row r="140" spans="1:19" s="44" customFormat="1" ht="18.75">
      <c r="A140" s="30" t="s">
        <v>72</v>
      </c>
      <c r="B140" s="30"/>
      <c r="C140" s="18" t="s">
        <v>152</v>
      </c>
      <c r="D140" s="80">
        <f>D141+D150+D146+D143</f>
        <v>7710400</v>
      </c>
      <c r="E140" s="80">
        <f>E141+I136+E143+E146</f>
        <v>2710400</v>
      </c>
      <c r="F140" s="80"/>
      <c r="G140" s="80"/>
      <c r="H140" s="80"/>
      <c r="I140" s="80">
        <f>L140+O140</f>
        <v>12724000</v>
      </c>
      <c r="J140" s="80">
        <f>J141+J150+J146</f>
        <v>10000000</v>
      </c>
      <c r="K140" s="86">
        <f>K141+K150+K146</f>
        <v>10000000</v>
      </c>
      <c r="L140" s="80">
        <f>L150+L146</f>
        <v>1545000</v>
      </c>
      <c r="M140" s="80">
        <f>M150+M146</f>
        <v>0</v>
      </c>
      <c r="N140" s="80">
        <f>N150+N146</f>
        <v>0</v>
      </c>
      <c r="O140" s="80">
        <f>O141+O150+O146</f>
        <v>11179000</v>
      </c>
      <c r="P140" s="80">
        <f>I140+D140</f>
        <v>20434400</v>
      </c>
      <c r="R140" s="70"/>
      <c r="S140" s="70"/>
    </row>
    <row r="141" spans="1:19" s="44" customFormat="1" ht="48">
      <c r="A141" s="30" t="s">
        <v>223</v>
      </c>
      <c r="B141" s="30"/>
      <c r="C141" s="18" t="s">
        <v>222</v>
      </c>
      <c r="D141" s="80">
        <f>D142</f>
        <v>254300</v>
      </c>
      <c r="E141" s="80">
        <f>E142</f>
        <v>254300</v>
      </c>
      <c r="F141" s="80"/>
      <c r="G141" s="80"/>
      <c r="H141" s="80"/>
      <c r="I141" s="80">
        <f>I142</f>
        <v>0</v>
      </c>
      <c r="J141" s="80">
        <f>J142</f>
        <v>0</v>
      </c>
      <c r="K141" s="86">
        <f>K142</f>
        <v>0</v>
      </c>
      <c r="L141" s="80"/>
      <c r="M141" s="80"/>
      <c r="N141" s="80"/>
      <c r="O141" s="80">
        <f>O142</f>
        <v>0</v>
      </c>
      <c r="P141" s="80">
        <f>I141+D141</f>
        <v>254300</v>
      </c>
      <c r="R141" s="70"/>
      <c r="S141" s="70"/>
    </row>
    <row r="142" spans="1:19" s="22" customFormat="1" ht="48">
      <c r="A142" s="31" t="s">
        <v>224</v>
      </c>
      <c r="B142" s="31" t="s">
        <v>225</v>
      </c>
      <c r="C142" s="6" t="s">
        <v>236</v>
      </c>
      <c r="D142" s="81">
        <f>E142+H142</f>
        <v>254300</v>
      </c>
      <c r="E142" s="81">
        <f>254300</f>
        <v>254300</v>
      </c>
      <c r="F142" s="81"/>
      <c r="G142" s="81"/>
      <c r="H142" s="81"/>
      <c r="I142" s="81">
        <f>L142+O142</f>
        <v>0</v>
      </c>
      <c r="J142" s="81"/>
      <c r="K142" s="82"/>
      <c r="L142" s="81"/>
      <c r="M142" s="81"/>
      <c r="N142" s="81"/>
      <c r="O142" s="81"/>
      <c r="P142" s="81">
        <f>I142+D142</f>
        <v>254300</v>
      </c>
      <c r="R142" s="23"/>
      <c r="S142" s="23"/>
    </row>
    <row r="143" spans="1:19" s="44" customFormat="1" ht="18.75">
      <c r="A143" s="30" t="s">
        <v>315</v>
      </c>
      <c r="B143" s="30"/>
      <c r="C143" s="18" t="s">
        <v>316</v>
      </c>
      <c r="D143" s="80">
        <f>D144+D145</f>
        <v>2456100</v>
      </c>
      <c r="E143" s="80">
        <f>E144+E145</f>
        <v>2456100</v>
      </c>
      <c r="F143" s="80"/>
      <c r="G143" s="80"/>
      <c r="H143" s="80"/>
      <c r="I143" s="80"/>
      <c r="J143" s="80"/>
      <c r="K143" s="86"/>
      <c r="L143" s="80"/>
      <c r="M143" s="80"/>
      <c r="N143" s="80"/>
      <c r="O143" s="80"/>
      <c r="P143" s="80">
        <f>D143+I143</f>
        <v>2456100</v>
      </c>
      <c r="R143" s="70"/>
      <c r="S143" s="70"/>
    </row>
    <row r="144" spans="1:19" s="44" customFormat="1" ht="32.25">
      <c r="A144" s="31" t="s">
        <v>326</v>
      </c>
      <c r="B144" s="31" t="s">
        <v>318</v>
      </c>
      <c r="C144" s="6" t="s">
        <v>327</v>
      </c>
      <c r="D144" s="81">
        <f>E144+H144</f>
        <v>2300000</v>
      </c>
      <c r="E144" s="81">
        <v>2300000</v>
      </c>
      <c r="F144" s="80"/>
      <c r="G144" s="80"/>
      <c r="H144" s="80"/>
      <c r="I144" s="80"/>
      <c r="J144" s="80"/>
      <c r="K144" s="86"/>
      <c r="L144" s="80"/>
      <c r="M144" s="80"/>
      <c r="N144" s="80"/>
      <c r="O144" s="80"/>
      <c r="P144" s="81">
        <f>D144+I144</f>
        <v>2300000</v>
      </c>
      <c r="R144" s="70"/>
      <c r="S144" s="70"/>
    </row>
    <row r="145" spans="1:19" s="22" customFormat="1" ht="32.25">
      <c r="A145" s="31" t="s">
        <v>317</v>
      </c>
      <c r="B145" s="31" t="s">
        <v>318</v>
      </c>
      <c r="C145" s="6" t="s">
        <v>319</v>
      </c>
      <c r="D145" s="81">
        <f>E145+H145</f>
        <v>156100</v>
      </c>
      <c r="E145" s="81">
        <v>156100</v>
      </c>
      <c r="F145" s="81"/>
      <c r="G145" s="81"/>
      <c r="H145" s="81"/>
      <c r="I145" s="81"/>
      <c r="J145" s="81"/>
      <c r="K145" s="82"/>
      <c r="L145" s="81"/>
      <c r="M145" s="81"/>
      <c r="N145" s="81"/>
      <c r="O145" s="81"/>
      <c r="P145" s="81">
        <f>D145+I145</f>
        <v>156100</v>
      </c>
      <c r="R145" s="23"/>
      <c r="S145" s="23"/>
    </row>
    <row r="146" spans="1:19" s="22" customFormat="1" ht="32.25">
      <c r="A146" s="30" t="s">
        <v>182</v>
      </c>
      <c r="B146" s="31"/>
      <c r="C146" s="18" t="s">
        <v>183</v>
      </c>
      <c r="D146" s="83"/>
      <c r="E146" s="83"/>
      <c r="F146" s="83"/>
      <c r="G146" s="83"/>
      <c r="H146" s="83"/>
      <c r="I146" s="83">
        <f>L146+O146</f>
        <v>12724000</v>
      </c>
      <c r="J146" s="83">
        <f>J149+J147</f>
        <v>10000000</v>
      </c>
      <c r="K146" s="89">
        <f>K149+K147</f>
        <v>10000000</v>
      </c>
      <c r="L146" s="83">
        <f>L149+L147</f>
        <v>1545000</v>
      </c>
      <c r="M146" s="83"/>
      <c r="N146" s="83"/>
      <c r="O146" s="83">
        <f>O149+O147</f>
        <v>11179000</v>
      </c>
      <c r="P146" s="83">
        <f t="shared" si="24"/>
        <v>12724000</v>
      </c>
      <c r="R146" s="23"/>
      <c r="S146" s="23"/>
    </row>
    <row r="147" spans="1:19" s="22" customFormat="1" ht="32.25">
      <c r="A147" s="31" t="s">
        <v>197</v>
      </c>
      <c r="B147" s="31"/>
      <c r="C147" s="21" t="s">
        <v>198</v>
      </c>
      <c r="D147" s="84"/>
      <c r="E147" s="84"/>
      <c r="F147" s="84"/>
      <c r="G147" s="84"/>
      <c r="H147" s="84"/>
      <c r="I147" s="84">
        <f>L147+O147</f>
        <v>10000000</v>
      </c>
      <c r="J147" s="84">
        <f>J148</f>
        <v>10000000</v>
      </c>
      <c r="K147" s="85">
        <f>K148</f>
        <v>10000000</v>
      </c>
      <c r="L147" s="84"/>
      <c r="M147" s="84"/>
      <c r="N147" s="84"/>
      <c r="O147" s="84">
        <f>O148</f>
        <v>10000000</v>
      </c>
      <c r="P147" s="84">
        <f t="shared" si="24"/>
        <v>10000000</v>
      </c>
      <c r="R147" s="23"/>
      <c r="S147" s="23"/>
    </row>
    <row r="148" spans="1:19" s="13" customFormat="1" ht="32.25">
      <c r="A148" s="9" t="s">
        <v>206</v>
      </c>
      <c r="B148" s="9" t="s">
        <v>207</v>
      </c>
      <c r="C148" s="29" t="s">
        <v>208</v>
      </c>
      <c r="D148" s="90"/>
      <c r="E148" s="90"/>
      <c r="F148" s="90"/>
      <c r="G148" s="90"/>
      <c r="H148" s="90"/>
      <c r="I148" s="84">
        <f>L148+O148</f>
        <v>10000000</v>
      </c>
      <c r="J148" s="90">
        <f>5000000+5000000</f>
        <v>10000000</v>
      </c>
      <c r="K148" s="91">
        <f>5000000+5000000</f>
        <v>10000000</v>
      </c>
      <c r="L148" s="90"/>
      <c r="M148" s="90"/>
      <c r="N148" s="90"/>
      <c r="O148" s="90">
        <f>5000000+5000000</f>
        <v>10000000</v>
      </c>
      <c r="P148" s="90">
        <f t="shared" si="24"/>
        <v>10000000</v>
      </c>
      <c r="R148" s="61"/>
      <c r="S148" s="61"/>
    </row>
    <row r="149" spans="1:19" ht="32.25">
      <c r="A149" s="10" t="s">
        <v>209</v>
      </c>
      <c r="B149" s="10" t="s">
        <v>70</v>
      </c>
      <c r="C149" s="6" t="s">
        <v>210</v>
      </c>
      <c r="D149" s="84"/>
      <c r="E149" s="84"/>
      <c r="F149" s="84"/>
      <c r="G149" s="84"/>
      <c r="H149" s="84"/>
      <c r="I149" s="84">
        <f>L149+O149</f>
        <v>2724000</v>
      </c>
      <c r="J149" s="84"/>
      <c r="K149" s="85"/>
      <c r="L149" s="84">
        <f>1303000+242000</f>
        <v>1545000</v>
      </c>
      <c r="M149" s="84"/>
      <c r="N149" s="84"/>
      <c r="O149" s="84">
        <f>320.9-299-21.9+1179000</f>
        <v>1179000</v>
      </c>
      <c r="P149" s="84">
        <f t="shared" si="24"/>
        <v>2724000</v>
      </c>
    </row>
    <row r="150" spans="1:19" ht="18.75">
      <c r="A150" s="15" t="s">
        <v>187</v>
      </c>
      <c r="B150" s="15" t="s">
        <v>71</v>
      </c>
      <c r="C150" s="34" t="s">
        <v>11</v>
      </c>
      <c r="D150" s="80">
        <v>5000000</v>
      </c>
      <c r="E150" s="80"/>
      <c r="F150" s="80"/>
      <c r="G150" s="80"/>
      <c r="H150" s="80"/>
      <c r="I150" s="80">
        <f>L150+O150</f>
        <v>0</v>
      </c>
      <c r="J150" s="81"/>
      <c r="K150" s="82"/>
      <c r="L150" s="81"/>
      <c r="M150" s="81"/>
      <c r="N150" s="81"/>
      <c r="O150" s="81"/>
      <c r="P150" s="80">
        <f t="shared" si="24"/>
        <v>5000000</v>
      </c>
    </row>
    <row r="151" spans="1:19" ht="18.75">
      <c r="A151" s="15" t="s">
        <v>188</v>
      </c>
      <c r="B151" s="10"/>
      <c r="C151" s="16" t="s">
        <v>189</v>
      </c>
      <c r="D151" s="80">
        <f>D152+D154+D155</f>
        <v>51106275</v>
      </c>
      <c r="E151" s="80">
        <f t="shared" ref="E151:H151" si="30">E152+E154+E155</f>
        <v>51106275</v>
      </c>
      <c r="F151" s="80">
        <f t="shared" si="30"/>
        <v>0</v>
      </c>
      <c r="G151" s="80">
        <f t="shared" si="30"/>
        <v>0</v>
      </c>
      <c r="H151" s="80">
        <f t="shared" si="30"/>
        <v>0</v>
      </c>
      <c r="I151" s="80">
        <f>I152+I154+I155</f>
        <v>4269050</v>
      </c>
      <c r="J151" s="80">
        <f t="shared" ref="J151:O151" si="31">J152+J154+J155</f>
        <v>4269050</v>
      </c>
      <c r="K151" s="86">
        <f t="shared" si="31"/>
        <v>2913300</v>
      </c>
      <c r="L151" s="80">
        <f t="shared" si="31"/>
        <v>0</v>
      </c>
      <c r="M151" s="80">
        <f t="shared" si="31"/>
        <v>0</v>
      </c>
      <c r="N151" s="80">
        <f t="shared" si="31"/>
        <v>0</v>
      </c>
      <c r="O151" s="80">
        <f t="shared" si="31"/>
        <v>4269050</v>
      </c>
      <c r="P151" s="80">
        <f t="shared" si="24"/>
        <v>55375325</v>
      </c>
    </row>
    <row r="152" spans="1:19" ht="18.75">
      <c r="A152" s="10" t="s">
        <v>69</v>
      </c>
      <c r="B152" s="10"/>
      <c r="C152" s="24" t="s">
        <v>343</v>
      </c>
      <c r="D152" s="81">
        <f>D153</f>
        <v>47712800</v>
      </c>
      <c r="E152" s="81">
        <f>E153</f>
        <v>47712800</v>
      </c>
      <c r="F152" s="81"/>
      <c r="G152" s="81"/>
      <c r="H152" s="81"/>
      <c r="I152" s="81">
        <f>L152+O152</f>
        <v>0</v>
      </c>
      <c r="J152" s="81"/>
      <c r="K152" s="82"/>
      <c r="L152" s="81"/>
      <c r="M152" s="81"/>
      <c r="N152" s="81"/>
      <c r="O152" s="81"/>
      <c r="P152" s="81">
        <f t="shared" si="24"/>
        <v>47712800</v>
      </c>
    </row>
    <row r="153" spans="1:19" ht="26.25" customHeight="1">
      <c r="A153" s="10" t="s">
        <v>190</v>
      </c>
      <c r="B153" s="10" t="s">
        <v>16</v>
      </c>
      <c r="C153" s="52" t="s">
        <v>191</v>
      </c>
      <c r="D153" s="81">
        <f>E153+H153</f>
        <v>47712800</v>
      </c>
      <c r="E153" s="81">
        <f>47715200-2400</f>
        <v>47712800</v>
      </c>
      <c r="F153" s="81"/>
      <c r="G153" s="81"/>
      <c r="H153" s="81"/>
      <c r="I153" s="81">
        <f>L153+O153</f>
        <v>0</v>
      </c>
      <c r="J153" s="81"/>
      <c r="K153" s="82"/>
      <c r="L153" s="81"/>
      <c r="M153" s="81"/>
      <c r="N153" s="81"/>
      <c r="O153" s="81"/>
      <c r="P153" s="81">
        <f t="shared" si="24"/>
        <v>47712800</v>
      </c>
    </row>
    <row r="154" spans="1:19" s="48" customFormat="1" ht="18.75">
      <c r="A154" s="15" t="s">
        <v>274</v>
      </c>
      <c r="B154" s="15" t="s">
        <v>16</v>
      </c>
      <c r="C154" s="63" t="s">
        <v>275</v>
      </c>
      <c r="D154" s="80"/>
      <c r="E154" s="80"/>
      <c r="F154" s="80"/>
      <c r="G154" s="80"/>
      <c r="H154" s="80"/>
      <c r="I154" s="80">
        <f>O154</f>
        <v>0</v>
      </c>
      <c r="J154" s="80">
        <f>700000-700000</f>
        <v>0</v>
      </c>
      <c r="K154" s="86">
        <f>700000-700000</f>
        <v>0</v>
      </c>
      <c r="L154" s="80"/>
      <c r="M154" s="80"/>
      <c r="N154" s="80"/>
      <c r="O154" s="80">
        <f>700000-700000</f>
        <v>0</v>
      </c>
      <c r="P154" s="80">
        <f t="shared" si="24"/>
        <v>0</v>
      </c>
      <c r="R154" s="70"/>
      <c r="S154" s="70"/>
    </row>
    <row r="155" spans="1:19" s="48" customFormat="1" ht="63.75">
      <c r="A155" s="15" t="s">
        <v>269</v>
      </c>
      <c r="B155" s="15" t="s">
        <v>16</v>
      </c>
      <c r="C155" s="27" t="s">
        <v>270</v>
      </c>
      <c r="D155" s="80">
        <f>E155+H155</f>
        <v>3393475</v>
      </c>
      <c r="E155" s="80">
        <v>3393475</v>
      </c>
      <c r="F155" s="80"/>
      <c r="G155" s="80"/>
      <c r="H155" s="80"/>
      <c r="I155" s="80">
        <f>O155</f>
        <v>4269050</v>
      </c>
      <c r="J155" s="80">
        <v>4269050</v>
      </c>
      <c r="K155" s="86">
        <v>2913300</v>
      </c>
      <c r="L155" s="80"/>
      <c r="M155" s="80"/>
      <c r="N155" s="80"/>
      <c r="O155" s="80">
        <v>4269050</v>
      </c>
      <c r="P155" s="80">
        <f t="shared" si="24"/>
        <v>7662525</v>
      </c>
      <c r="R155" s="70"/>
      <c r="S155" s="70"/>
    </row>
    <row r="156" spans="1:19" ht="26.25" customHeight="1">
      <c r="A156" s="10"/>
      <c r="B156" s="10"/>
      <c r="C156" s="16" t="s">
        <v>4</v>
      </c>
      <c r="D156" s="80">
        <f>D16+D21+D39+D48+D94+D101+D109+D119+D140+D151</f>
        <v>768210652.20000005</v>
      </c>
      <c r="E156" s="80">
        <f>E16+E21+E39+E48+E94+E101+E109+E119+E140+E151</f>
        <v>762961678.20000005</v>
      </c>
      <c r="F156" s="80">
        <f>F16+F21+F39+F48+F94+F101+F109+F119+F140+F151</f>
        <v>289293700</v>
      </c>
      <c r="G156" s="80">
        <f>G16+G21+G39+G48+G94+G101+G109+G119+G140+G151</f>
        <v>28739200</v>
      </c>
      <c r="H156" s="80">
        <f>H16+H21+H39+H48+H94+H101+H109+H119+H140+H151</f>
        <v>248974</v>
      </c>
      <c r="I156" s="80">
        <f>L156+O156</f>
        <v>264131103.85999998</v>
      </c>
      <c r="J156" s="80">
        <f t="shared" ref="J156:O156" si="32">J16+J21+J39+J48+J94+J101+J109+J119+J140+J151</f>
        <v>233942631.79999998</v>
      </c>
      <c r="K156" s="86">
        <f t="shared" si="32"/>
        <v>184044322.20999998</v>
      </c>
      <c r="L156" s="80">
        <f t="shared" si="32"/>
        <v>22736801</v>
      </c>
      <c r="M156" s="80">
        <f t="shared" si="32"/>
        <v>380500</v>
      </c>
      <c r="N156" s="80">
        <f t="shared" si="32"/>
        <v>0</v>
      </c>
      <c r="O156" s="80">
        <f t="shared" si="32"/>
        <v>241394302.85999998</v>
      </c>
      <c r="P156" s="80">
        <f>D156+I156</f>
        <v>1032341756.0600001</v>
      </c>
    </row>
    <row r="157" spans="1:19">
      <c r="A157" s="56"/>
      <c r="B157" s="56"/>
      <c r="C157" s="57"/>
      <c r="D157" s="58"/>
      <c r="E157" s="58"/>
      <c r="F157" s="58"/>
      <c r="G157" s="58"/>
      <c r="H157" s="58"/>
      <c r="I157" s="58"/>
      <c r="J157" s="58"/>
      <c r="K157" s="68"/>
      <c r="L157" s="58"/>
      <c r="M157" s="58"/>
      <c r="N157" s="58"/>
      <c r="O157" s="58"/>
      <c r="P157" s="58"/>
    </row>
    <row r="158" spans="1:19">
      <c r="A158" s="56"/>
      <c r="B158" s="56"/>
      <c r="C158" s="57" t="s">
        <v>320</v>
      </c>
      <c r="D158" s="58"/>
      <c r="E158" s="58"/>
      <c r="F158" s="58"/>
      <c r="G158" s="58"/>
      <c r="H158" s="58"/>
      <c r="I158" s="58"/>
      <c r="J158" s="58"/>
      <c r="K158" s="68"/>
      <c r="L158" s="58"/>
      <c r="M158" s="58"/>
      <c r="N158" s="58"/>
      <c r="O158" s="58"/>
      <c r="P158" s="58"/>
    </row>
    <row r="159" spans="1:19">
      <c r="A159" s="56"/>
      <c r="B159" s="56"/>
      <c r="C159" s="72"/>
      <c r="D159" s="58"/>
      <c r="E159" s="58"/>
      <c r="F159" s="58"/>
      <c r="G159" s="58"/>
      <c r="H159" s="58"/>
      <c r="I159" s="58"/>
      <c r="J159" s="58"/>
      <c r="K159" s="68"/>
      <c r="L159" s="58"/>
      <c r="M159" s="58"/>
      <c r="N159" s="58"/>
      <c r="O159" s="58"/>
      <c r="P159" s="58"/>
    </row>
    <row r="160" spans="1:19" s="103" customFormat="1">
      <c r="A160" s="147"/>
      <c r="B160" s="147"/>
      <c r="C160" s="148"/>
      <c r="D160" s="149">
        <f>D156-D161</f>
        <v>0</v>
      </c>
      <c r="E160" s="149">
        <f t="shared" ref="E160:P160" si="33">E156-E161</f>
        <v>0</v>
      </c>
      <c r="F160" s="149">
        <f t="shared" si="33"/>
        <v>0</v>
      </c>
      <c r="G160" s="149">
        <f t="shared" si="33"/>
        <v>0</v>
      </c>
      <c r="H160" s="149">
        <f t="shared" si="33"/>
        <v>0</v>
      </c>
      <c r="I160" s="149">
        <f t="shared" si="33"/>
        <v>0</v>
      </c>
      <c r="J160" s="149">
        <f t="shared" si="33"/>
        <v>0</v>
      </c>
      <c r="K160" s="160">
        <f t="shared" si="33"/>
        <v>0</v>
      </c>
      <c r="L160" s="149">
        <f t="shared" si="33"/>
        <v>0</v>
      </c>
      <c r="M160" s="149">
        <f t="shared" si="33"/>
        <v>0</v>
      </c>
      <c r="N160" s="149">
        <f t="shared" si="33"/>
        <v>0</v>
      </c>
      <c r="O160" s="149">
        <f t="shared" si="33"/>
        <v>0</v>
      </c>
      <c r="P160" s="149">
        <f t="shared" si="33"/>
        <v>0</v>
      </c>
      <c r="R160" s="104"/>
      <c r="S160" s="104"/>
    </row>
    <row r="161" spans="1:19" s="103" customFormat="1">
      <c r="A161" s="147"/>
      <c r="B161" s="147"/>
      <c r="C161" s="148" t="s">
        <v>337</v>
      </c>
      <c r="D161" s="149">
        <f>початковий!D148+'зміни квітень'!D85</f>
        <v>768210652.20000005</v>
      </c>
      <c r="E161" s="149">
        <f>початковий!E148+'зміни квітень'!E85</f>
        <v>762961678.20000005</v>
      </c>
      <c r="F161" s="149">
        <f>початковий!F148+'зміни квітень'!F85</f>
        <v>289293700</v>
      </c>
      <c r="G161" s="149">
        <f>початковий!G148+'зміни квітень'!G85</f>
        <v>28739200</v>
      </c>
      <c r="H161" s="149">
        <f>початковий!H148+'зміни квітень'!H85</f>
        <v>248974</v>
      </c>
      <c r="I161" s="149">
        <f>початковий!I148+'зміни квітень'!I85</f>
        <v>264131103.86000001</v>
      </c>
      <c r="J161" s="149">
        <f>початковий!J148+'зміни квітень'!J85</f>
        <v>233942631.80000001</v>
      </c>
      <c r="K161" s="160">
        <f>початковий!K148+'зміни квітень'!K85</f>
        <v>184044322.21000001</v>
      </c>
      <c r="L161" s="149">
        <f>початковий!L148+'зміни квітень'!L85</f>
        <v>22736801</v>
      </c>
      <c r="M161" s="149">
        <f>початковий!M148+'зміни квітень'!M85</f>
        <v>380500</v>
      </c>
      <c r="N161" s="149">
        <f>початковий!N148+'зміни квітень'!N85</f>
        <v>0</v>
      </c>
      <c r="O161" s="149">
        <f>початковий!O148+'зміни квітень'!O85</f>
        <v>241394302.86000001</v>
      </c>
      <c r="P161" s="149">
        <f>початковий!P148+'зміни квітень'!P85</f>
        <v>1032341756.0599999</v>
      </c>
      <c r="R161" s="104"/>
      <c r="S161" s="104"/>
    </row>
    <row r="163" spans="1:19" s="77" customFormat="1" ht="18.75">
      <c r="A163" s="74"/>
      <c r="B163" s="74"/>
      <c r="C163" s="75" t="s">
        <v>321</v>
      </c>
      <c r="D163" s="76">
        <f>'[1]2019!'!$E$166</f>
        <v>761371853</v>
      </c>
      <c r="E163" s="76">
        <f>'[1]2019!'!$F$166</f>
        <v>756371853</v>
      </c>
      <c r="F163" s="76">
        <f>'[1]2019!'!$G$166</f>
        <v>289593700</v>
      </c>
      <c r="G163" s="76">
        <f>'[1]2019!'!$H$166</f>
        <v>29439200</v>
      </c>
      <c r="H163" s="76">
        <f>'[1]2019!'!$I$166</f>
        <v>0</v>
      </c>
      <c r="I163" s="76">
        <f>'[1]2019!'!$J$166</f>
        <v>225405601</v>
      </c>
      <c r="J163" s="76">
        <f>'[1]2019!'!$K$166</f>
        <v>202860800</v>
      </c>
      <c r="K163" s="161">
        <f>'[1]2019!'!$L$165</f>
        <v>700000</v>
      </c>
      <c r="L163" s="76">
        <f>'[1]2019!'!$M$166</f>
        <v>22450801</v>
      </c>
      <c r="M163" s="76">
        <f>'[1]2019!'!$N$166</f>
        <v>380500</v>
      </c>
      <c r="N163" s="76">
        <f>'[1]2019!'!$O$166</f>
        <v>0</v>
      </c>
      <c r="O163" s="76">
        <f>'[1]2019!'!$P$166</f>
        <v>202954800</v>
      </c>
      <c r="P163" s="76">
        <f>'[1]2019!'!$Q$166</f>
        <v>986777454</v>
      </c>
      <c r="R163" s="78"/>
      <c r="S163" s="78"/>
    </row>
    <row r="164" spans="1:19" s="77" customFormat="1" ht="18.75">
      <c r="A164" s="74"/>
      <c r="B164" s="74"/>
      <c r="C164" s="75" t="s">
        <v>322</v>
      </c>
      <c r="D164" s="76">
        <f>D156-D163</f>
        <v>6838799.2000000477</v>
      </c>
      <c r="E164" s="76">
        <f t="shared" ref="E164:P164" si="34">E156-E163</f>
        <v>6589825.2000000477</v>
      </c>
      <c r="F164" s="76">
        <f t="shared" si="34"/>
        <v>-300000</v>
      </c>
      <c r="G164" s="76">
        <f t="shared" si="34"/>
        <v>-700000</v>
      </c>
      <c r="H164" s="76">
        <f t="shared" si="34"/>
        <v>248974</v>
      </c>
      <c r="I164" s="76">
        <f t="shared" si="34"/>
        <v>38725502.859999985</v>
      </c>
      <c r="J164" s="76">
        <f t="shared" si="34"/>
        <v>31081831.799999982</v>
      </c>
      <c r="K164" s="161">
        <f t="shared" si="34"/>
        <v>183344322.20999998</v>
      </c>
      <c r="L164" s="76">
        <f t="shared" si="34"/>
        <v>286000</v>
      </c>
      <c r="M164" s="76">
        <f t="shared" si="34"/>
        <v>0</v>
      </c>
      <c r="N164" s="76">
        <f t="shared" si="34"/>
        <v>0</v>
      </c>
      <c r="O164" s="76">
        <f t="shared" si="34"/>
        <v>38439502.859999985</v>
      </c>
      <c r="P164" s="76">
        <f t="shared" si="34"/>
        <v>45564302.060000062</v>
      </c>
      <c r="R164" s="78"/>
      <c r="S164" s="78"/>
    </row>
  </sheetData>
  <mergeCells count="22">
    <mergeCell ref="L12:L14"/>
    <mergeCell ref="F12:G12"/>
    <mergeCell ref="H12:H14"/>
    <mergeCell ref="I12:I14"/>
    <mergeCell ref="J12:J14"/>
    <mergeCell ref="K12:K14"/>
    <mergeCell ref="A8:P8"/>
    <mergeCell ref="A9:P9"/>
    <mergeCell ref="A11:A14"/>
    <mergeCell ref="B11:B14"/>
    <mergeCell ref="C11:C14"/>
    <mergeCell ref="D11:H11"/>
    <mergeCell ref="I11:O11"/>
    <mergeCell ref="P11:P14"/>
    <mergeCell ref="D12:D14"/>
    <mergeCell ref="E12:E14"/>
    <mergeCell ref="M12:N12"/>
    <mergeCell ref="O12:O14"/>
    <mergeCell ref="F13:F14"/>
    <mergeCell ref="G13:G14"/>
    <mergeCell ref="M13:M14"/>
    <mergeCell ref="N13:N14"/>
  </mergeCells>
  <pageMargins left="0.19685039370078741" right="0.19685039370078741" top="0.19685039370078741" bottom="0.19685039370078741" header="0.19685039370078741" footer="0.19685039370078741"/>
  <pageSetup paperSize="9" scale="47" fitToHeight="7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8"/>
  <sheetViews>
    <sheetView tabSelected="1" view="pageBreakPreview" topLeftCell="B1" zoomScale="60" zoomScaleNormal="70" workbookViewId="0">
      <pane ySplit="11" topLeftCell="A12" activePane="bottomLeft" state="frozen"/>
      <selection pane="bottomLeft" activeCell="I23" sqref="I23"/>
    </sheetView>
  </sheetViews>
  <sheetFormatPr defaultRowHeight="15.75"/>
  <cols>
    <col min="1" max="1" width="11.42578125" style="2" bestFit="1" customWidth="1"/>
    <col min="2" max="2" width="11.85546875" style="2" customWidth="1"/>
    <col min="3" max="3" width="48" style="3" customWidth="1"/>
    <col min="4" max="4" width="20.7109375" style="1" customWidth="1"/>
    <col min="5" max="5" width="23" style="1" customWidth="1"/>
    <col min="6" max="6" width="21" style="1" customWidth="1"/>
    <col min="7" max="7" width="18.85546875" style="1" customWidth="1"/>
    <col min="8" max="8" width="15.7109375" style="1" customWidth="1"/>
    <col min="9" max="9" width="19.7109375" style="1" customWidth="1"/>
    <col min="10" max="10" width="20.140625" style="1" customWidth="1"/>
    <col min="11" max="11" width="21.5703125" style="66" hidden="1" customWidth="1"/>
    <col min="12" max="12" width="19" style="1" customWidth="1"/>
    <col min="13" max="13" width="14.85546875" style="1" customWidth="1"/>
    <col min="14" max="14" width="14.140625" style="1" customWidth="1"/>
    <col min="15" max="15" width="18.85546875" style="1" customWidth="1"/>
    <col min="16" max="16" width="24.42578125" style="1" customWidth="1"/>
    <col min="17" max="17" width="13.28515625" style="1" bestFit="1" customWidth="1"/>
    <col min="18" max="19" width="18.42578125" style="53" customWidth="1"/>
    <col min="20" max="16384" width="9.140625" style="1"/>
  </cols>
  <sheetData>
    <row r="1" spans="1:16">
      <c r="A1" s="55"/>
      <c r="O1" s="4" t="s">
        <v>349</v>
      </c>
      <c r="P1" s="47"/>
    </row>
    <row r="2" spans="1:16">
      <c r="A2" s="54"/>
      <c r="O2" s="92" t="s">
        <v>350</v>
      </c>
      <c r="P2" s="65"/>
    </row>
    <row r="3" spans="1:16">
      <c r="A3" s="54"/>
      <c r="O3" s="92" t="s">
        <v>345</v>
      </c>
      <c r="P3" s="65"/>
    </row>
    <row r="4" spans="1:16">
      <c r="A4" s="54"/>
      <c r="O4" s="92" t="s">
        <v>351</v>
      </c>
      <c r="P4" s="65"/>
    </row>
    <row r="5" spans="1:16" ht="20.25" customHeight="1">
      <c r="A5" s="171" t="s">
        <v>294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</row>
    <row r="6" spans="1:16">
      <c r="P6" s="64" t="s">
        <v>289</v>
      </c>
    </row>
    <row r="7" spans="1:16" ht="15" customHeight="1">
      <c r="A7" s="170" t="s">
        <v>280</v>
      </c>
      <c r="B7" s="170" t="s">
        <v>281</v>
      </c>
      <c r="C7" s="170" t="s">
        <v>282</v>
      </c>
      <c r="D7" s="172" t="s">
        <v>0</v>
      </c>
      <c r="E7" s="173"/>
      <c r="F7" s="173"/>
      <c r="G7" s="173"/>
      <c r="H7" s="174"/>
      <c r="I7" s="170" t="s">
        <v>3</v>
      </c>
      <c r="J7" s="170"/>
      <c r="K7" s="170"/>
      <c r="L7" s="170"/>
      <c r="M7" s="170"/>
      <c r="N7" s="170"/>
      <c r="O7" s="170"/>
      <c r="P7" s="175" t="s">
        <v>4</v>
      </c>
    </row>
    <row r="8" spans="1:16">
      <c r="A8" s="170"/>
      <c r="B8" s="170"/>
      <c r="C8" s="170"/>
      <c r="D8" s="170" t="s">
        <v>283</v>
      </c>
      <c r="E8" s="176" t="s">
        <v>278</v>
      </c>
      <c r="F8" s="170" t="s">
        <v>1</v>
      </c>
      <c r="G8" s="170"/>
      <c r="H8" s="176" t="s">
        <v>279</v>
      </c>
      <c r="I8" s="170" t="s">
        <v>283</v>
      </c>
      <c r="J8" s="176" t="s">
        <v>284</v>
      </c>
      <c r="K8" s="179" t="s">
        <v>286</v>
      </c>
      <c r="L8" s="170" t="s">
        <v>278</v>
      </c>
      <c r="M8" s="170" t="s">
        <v>1</v>
      </c>
      <c r="N8" s="170"/>
      <c r="O8" s="170" t="s">
        <v>285</v>
      </c>
      <c r="P8" s="175"/>
    </row>
    <row r="9" spans="1:16">
      <c r="A9" s="170"/>
      <c r="B9" s="170"/>
      <c r="C9" s="170"/>
      <c r="D9" s="170"/>
      <c r="E9" s="177"/>
      <c r="F9" s="170" t="s">
        <v>10</v>
      </c>
      <c r="G9" s="170" t="s">
        <v>2</v>
      </c>
      <c r="H9" s="177"/>
      <c r="I9" s="170"/>
      <c r="J9" s="177"/>
      <c r="K9" s="180"/>
      <c r="L9" s="170"/>
      <c r="M9" s="170" t="s">
        <v>10</v>
      </c>
      <c r="N9" s="170" t="s">
        <v>2</v>
      </c>
      <c r="O9" s="170"/>
      <c r="P9" s="175"/>
    </row>
    <row r="10" spans="1:16" ht="138.75" customHeight="1">
      <c r="A10" s="170"/>
      <c r="B10" s="170"/>
      <c r="C10" s="170"/>
      <c r="D10" s="170"/>
      <c r="E10" s="178"/>
      <c r="F10" s="170"/>
      <c r="G10" s="170"/>
      <c r="H10" s="178"/>
      <c r="I10" s="170"/>
      <c r="J10" s="178"/>
      <c r="K10" s="181"/>
      <c r="L10" s="170"/>
      <c r="M10" s="170"/>
      <c r="N10" s="170"/>
      <c r="O10" s="170"/>
      <c r="P10" s="175"/>
    </row>
    <row r="11" spans="1:16">
      <c r="A11" s="5">
        <v>1</v>
      </c>
      <c r="B11" s="5">
        <v>2</v>
      </c>
      <c r="C11" s="162">
        <v>3</v>
      </c>
      <c r="D11" s="162">
        <v>4</v>
      </c>
      <c r="E11" s="162">
        <v>5</v>
      </c>
      <c r="F11" s="162">
        <v>6</v>
      </c>
      <c r="G11" s="162">
        <v>7</v>
      </c>
      <c r="H11" s="162">
        <v>8</v>
      </c>
      <c r="I11" s="162">
        <v>9</v>
      </c>
      <c r="J11" s="162">
        <v>10</v>
      </c>
      <c r="K11" s="67"/>
      <c r="L11" s="162">
        <v>11</v>
      </c>
      <c r="M11" s="162">
        <v>12</v>
      </c>
      <c r="N11" s="162">
        <v>13</v>
      </c>
      <c r="O11" s="162">
        <v>14</v>
      </c>
      <c r="P11" s="162" t="s">
        <v>288</v>
      </c>
    </row>
    <row r="12" spans="1:16" ht="18.75">
      <c r="A12" s="15" t="s">
        <v>15</v>
      </c>
      <c r="B12" s="10"/>
      <c r="C12" s="16" t="s">
        <v>5</v>
      </c>
      <c r="D12" s="80">
        <f>D13+D14+D15</f>
        <v>-432259</v>
      </c>
      <c r="E12" s="80">
        <f t="shared" ref="E12:O12" si="0">E13+E14+E15</f>
        <v>-432259</v>
      </c>
      <c r="F12" s="80">
        <f t="shared" si="0"/>
        <v>8839</v>
      </c>
      <c r="G12" s="80">
        <f t="shared" si="0"/>
        <v>0</v>
      </c>
      <c r="H12" s="80">
        <f t="shared" si="0"/>
        <v>0</v>
      </c>
      <c r="I12" s="80">
        <f t="shared" si="0"/>
        <v>-154921</v>
      </c>
      <c r="J12" s="80">
        <f t="shared" si="0"/>
        <v>-154921</v>
      </c>
      <c r="K12" s="80">
        <f t="shared" si="0"/>
        <v>-133641</v>
      </c>
      <c r="L12" s="80">
        <f t="shared" si="0"/>
        <v>0</v>
      </c>
      <c r="M12" s="80">
        <f t="shared" si="0"/>
        <v>0</v>
      </c>
      <c r="N12" s="80">
        <f t="shared" si="0"/>
        <v>0</v>
      </c>
      <c r="O12" s="80">
        <f t="shared" si="0"/>
        <v>-154921</v>
      </c>
      <c r="P12" s="80">
        <f>D12+I12</f>
        <v>-587180</v>
      </c>
    </row>
    <row r="13" spans="1:16" ht="75.75">
      <c r="A13" s="10" t="s">
        <v>126</v>
      </c>
      <c r="B13" s="10" t="s">
        <v>17</v>
      </c>
      <c r="C13" s="35" t="s">
        <v>125</v>
      </c>
      <c r="D13" s="81">
        <f>E13+H13</f>
        <v>-317361</v>
      </c>
      <c r="E13" s="81">
        <f>-80000+5700-42961-50100-150000</f>
        <v>-317361</v>
      </c>
      <c r="F13" s="81">
        <f>-80000+5700-42961</f>
        <v>-117261</v>
      </c>
      <c r="G13" s="81"/>
      <c r="H13" s="81"/>
      <c r="I13" s="81">
        <f>L13+O13</f>
        <v>50100</v>
      </c>
      <c r="J13" s="81">
        <v>50100</v>
      </c>
      <c r="K13" s="82">
        <v>50100</v>
      </c>
      <c r="L13" s="81"/>
      <c r="M13" s="81"/>
      <c r="N13" s="81"/>
      <c r="O13" s="81">
        <v>50100</v>
      </c>
      <c r="P13" s="81">
        <f>D13+I13</f>
        <v>-267261</v>
      </c>
    </row>
    <row r="14" spans="1:16" ht="45.75">
      <c r="A14" s="10" t="s">
        <v>128</v>
      </c>
      <c r="B14" s="10" t="s">
        <v>17</v>
      </c>
      <c r="C14" s="36" t="s">
        <v>253</v>
      </c>
      <c r="D14" s="81">
        <f>E14+H14</f>
        <v>147902</v>
      </c>
      <c r="E14" s="81">
        <f>19002+99200+7200+19700+2800</f>
        <v>147902</v>
      </c>
      <c r="F14" s="81">
        <f>99200+7200+19700</f>
        <v>126100</v>
      </c>
      <c r="G14" s="81"/>
      <c r="H14" s="81"/>
      <c r="I14" s="81">
        <f>L14+O14</f>
        <v>-27841</v>
      </c>
      <c r="J14" s="81">
        <f>-3435-22-5382-19002</f>
        <v>-27841</v>
      </c>
      <c r="K14" s="81">
        <f>-3435-22-5382-19002</f>
        <v>-27841</v>
      </c>
      <c r="L14" s="81"/>
      <c r="M14" s="81"/>
      <c r="N14" s="81"/>
      <c r="O14" s="81">
        <f>-3435-22-5382-19002</f>
        <v>-27841</v>
      </c>
      <c r="P14" s="81">
        <f>D14+I14</f>
        <v>120061</v>
      </c>
    </row>
    <row r="15" spans="1:16" ht="18.75">
      <c r="A15" s="10" t="s">
        <v>16</v>
      </c>
      <c r="B15" s="10" t="s">
        <v>71</v>
      </c>
      <c r="C15" s="33" t="s">
        <v>184</v>
      </c>
      <c r="D15" s="81">
        <f>E15+H15</f>
        <v>-262800</v>
      </c>
      <c r="E15" s="81">
        <f>-62800-200000</f>
        <v>-262800</v>
      </c>
      <c r="F15" s="81"/>
      <c r="G15" s="81"/>
      <c r="H15" s="81"/>
      <c r="I15" s="81">
        <f>L15+O15</f>
        <v>-177180</v>
      </c>
      <c r="J15" s="81">
        <f>-1698635-155900-572645+2250000</f>
        <v>-177180</v>
      </c>
      <c r="K15" s="82">
        <v>-155900</v>
      </c>
      <c r="L15" s="81"/>
      <c r="M15" s="81"/>
      <c r="N15" s="81"/>
      <c r="O15" s="81">
        <f>-1698635-155900-572645+2250000</f>
        <v>-177180</v>
      </c>
      <c r="P15" s="81">
        <f t="shared" ref="P15:P58" si="1">D15+I15</f>
        <v>-439980</v>
      </c>
    </row>
    <row r="16" spans="1:16" ht="18.75">
      <c r="A16" s="15" t="s">
        <v>18</v>
      </c>
      <c r="B16" s="10"/>
      <c r="C16" s="16" t="s">
        <v>6</v>
      </c>
      <c r="D16" s="80">
        <f>D17+D18+D19+D20+D21+D23+D24</f>
        <v>495040</v>
      </c>
      <c r="E16" s="80">
        <f t="shared" ref="E16:O16" si="2">E17+E18+E19+E20+E21+E23+E24</f>
        <v>495040</v>
      </c>
      <c r="F16" s="80">
        <f t="shared" si="2"/>
        <v>-19600</v>
      </c>
      <c r="G16" s="80">
        <f t="shared" si="2"/>
        <v>-753100</v>
      </c>
      <c r="H16" s="80">
        <f t="shared" si="2"/>
        <v>0</v>
      </c>
      <c r="I16" s="80">
        <f t="shared" si="2"/>
        <v>-32058</v>
      </c>
      <c r="J16" s="80">
        <f t="shared" si="2"/>
        <v>-32058</v>
      </c>
      <c r="K16" s="80">
        <f t="shared" si="2"/>
        <v>-32058</v>
      </c>
      <c r="L16" s="80">
        <f t="shared" si="2"/>
        <v>0</v>
      </c>
      <c r="M16" s="80">
        <f t="shared" si="2"/>
        <v>0</v>
      </c>
      <c r="N16" s="80">
        <f t="shared" si="2"/>
        <v>0</v>
      </c>
      <c r="O16" s="80">
        <f t="shared" si="2"/>
        <v>-32058</v>
      </c>
      <c r="P16" s="80">
        <f>D16+I16</f>
        <v>462982</v>
      </c>
    </row>
    <row r="17" spans="1:19" s="26" customFormat="1" ht="18.75">
      <c r="A17" s="10" t="s">
        <v>20</v>
      </c>
      <c r="B17" s="10" t="s">
        <v>19</v>
      </c>
      <c r="C17" s="24" t="s">
        <v>146</v>
      </c>
      <c r="D17" s="81">
        <f>E17+H17</f>
        <v>663375</v>
      </c>
      <c r="E17" s="81">
        <f>500000+33375+130000-420100+479100-59000</f>
        <v>663375</v>
      </c>
      <c r="F17" s="81"/>
      <c r="G17" s="81">
        <f>-420100+479100-59000</f>
        <v>0</v>
      </c>
      <c r="H17" s="81"/>
      <c r="I17" s="81">
        <f>L17+O17</f>
        <v>14433</v>
      </c>
      <c r="J17" s="81">
        <v>14433</v>
      </c>
      <c r="K17" s="82">
        <v>14433</v>
      </c>
      <c r="L17" s="81"/>
      <c r="M17" s="81"/>
      <c r="N17" s="81"/>
      <c r="O17" s="81">
        <v>14433</v>
      </c>
      <c r="P17" s="81">
        <f>D17+I17</f>
        <v>677808</v>
      </c>
      <c r="R17" s="62"/>
      <c r="S17" s="62"/>
    </row>
    <row r="18" spans="1:19" ht="75.75">
      <c r="A18" s="10" t="s">
        <v>21</v>
      </c>
      <c r="B18" s="10" t="s">
        <v>22</v>
      </c>
      <c r="C18" s="36" t="s">
        <v>23</v>
      </c>
      <c r="D18" s="81">
        <f>E18+H18</f>
        <v>-159588</v>
      </c>
      <c r="E18" s="81">
        <f>-500000+18238+217894+415980-739400+7000+621300-200600</f>
        <v>-159588</v>
      </c>
      <c r="F18" s="81"/>
      <c r="G18" s="81">
        <f>-500000-739400+7000+621300-200600</f>
        <v>-811700</v>
      </c>
      <c r="H18" s="81"/>
      <c r="I18" s="81">
        <f>L18+O18</f>
        <v>-415980</v>
      </c>
      <c r="J18" s="81">
        <v>-415980</v>
      </c>
      <c r="K18" s="82">
        <v>-415980</v>
      </c>
      <c r="L18" s="81"/>
      <c r="M18" s="81"/>
      <c r="N18" s="81"/>
      <c r="O18" s="81">
        <v>-415980</v>
      </c>
      <c r="P18" s="81">
        <f>D18+I18</f>
        <v>-575568</v>
      </c>
      <c r="Q18" s="73"/>
    </row>
    <row r="19" spans="1:19" ht="75.75">
      <c r="A19" s="10" t="s">
        <v>64</v>
      </c>
      <c r="B19" s="10" t="s">
        <v>27</v>
      </c>
      <c r="C19" s="36" t="s">
        <v>111</v>
      </c>
      <c r="D19" s="81">
        <f>E19+H19</f>
        <v>46253</v>
      </c>
      <c r="E19" s="81">
        <f>1216+14526+30511-36900+2000+34900</f>
        <v>46253</v>
      </c>
      <c r="F19" s="81"/>
      <c r="G19" s="81">
        <f>-36900+2000+34900</f>
        <v>0</v>
      </c>
      <c r="H19" s="81"/>
      <c r="I19" s="81">
        <f>L19+O19</f>
        <v>169489</v>
      </c>
      <c r="J19" s="81">
        <f>200000-30511</f>
        <v>169489</v>
      </c>
      <c r="K19" s="82">
        <f>200000-30511</f>
        <v>169489</v>
      </c>
      <c r="L19" s="81"/>
      <c r="M19" s="81"/>
      <c r="N19" s="81"/>
      <c r="O19" s="81">
        <f>200000-30511</f>
        <v>169489</v>
      </c>
      <c r="P19" s="81">
        <f t="shared" si="1"/>
        <v>215742</v>
      </c>
    </row>
    <row r="20" spans="1:19" ht="45.75">
      <c r="A20" s="10" t="s">
        <v>28</v>
      </c>
      <c r="B20" s="10" t="s">
        <v>29</v>
      </c>
      <c r="C20" s="36" t="s">
        <v>30</v>
      </c>
      <c r="D20" s="81">
        <f>E20+H20</f>
        <v>-201400</v>
      </c>
      <c r="E20" s="81">
        <f>-200000-38000+48600-12000</f>
        <v>-201400</v>
      </c>
      <c r="F20" s="81"/>
      <c r="G20" s="81">
        <f>-38000+48600-12000</f>
        <v>-1400</v>
      </c>
      <c r="H20" s="81"/>
      <c r="I20" s="81">
        <f>L20+O20</f>
        <v>200000</v>
      </c>
      <c r="J20" s="81">
        <v>200000</v>
      </c>
      <c r="K20" s="82">
        <v>200000</v>
      </c>
      <c r="L20" s="81"/>
      <c r="M20" s="81"/>
      <c r="N20" s="81"/>
      <c r="O20" s="81">
        <v>200000</v>
      </c>
      <c r="P20" s="81">
        <f t="shared" si="1"/>
        <v>-1400</v>
      </c>
    </row>
    <row r="21" spans="1:19" ht="18.75">
      <c r="A21" s="10" t="s">
        <v>130</v>
      </c>
      <c r="B21" s="10"/>
      <c r="C21" s="36" t="s">
        <v>131</v>
      </c>
      <c r="D21" s="81">
        <f>D22</f>
        <v>0</v>
      </c>
      <c r="E21" s="81">
        <f t="shared" ref="E21:O21" si="3">E22</f>
        <v>0</v>
      </c>
      <c r="F21" s="81">
        <f t="shared" si="3"/>
        <v>0</v>
      </c>
      <c r="G21" s="81">
        <f t="shared" si="3"/>
        <v>0</v>
      </c>
      <c r="H21" s="81">
        <f t="shared" si="3"/>
        <v>0</v>
      </c>
      <c r="I21" s="81">
        <f t="shared" si="3"/>
        <v>0</v>
      </c>
      <c r="J21" s="81">
        <f t="shared" si="3"/>
        <v>0</v>
      </c>
      <c r="K21" s="81">
        <f t="shared" si="3"/>
        <v>0</v>
      </c>
      <c r="L21" s="81">
        <f t="shared" si="3"/>
        <v>0</v>
      </c>
      <c r="M21" s="81">
        <f t="shared" si="3"/>
        <v>0</v>
      </c>
      <c r="N21" s="81">
        <f t="shared" si="3"/>
        <v>0</v>
      </c>
      <c r="O21" s="81">
        <f t="shared" si="3"/>
        <v>0</v>
      </c>
      <c r="P21" s="81">
        <f t="shared" si="1"/>
        <v>0</v>
      </c>
    </row>
    <row r="22" spans="1:19" s="13" customFormat="1" ht="33" customHeight="1">
      <c r="A22" s="9" t="s">
        <v>228</v>
      </c>
      <c r="B22" s="9" t="s">
        <v>33</v>
      </c>
      <c r="C22" s="46" t="s">
        <v>229</v>
      </c>
      <c r="D22" s="87">
        <f>E22+H22</f>
        <v>0</v>
      </c>
      <c r="E22" s="87">
        <f>-7900+7900</f>
        <v>0</v>
      </c>
      <c r="F22" s="87"/>
      <c r="G22" s="87">
        <f>-7900+7900</f>
        <v>0</v>
      </c>
      <c r="H22" s="87"/>
      <c r="I22" s="87"/>
      <c r="J22" s="87"/>
      <c r="K22" s="88"/>
      <c r="L22" s="87"/>
      <c r="M22" s="87"/>
      <c r="N22" s="87"/>
      <c r="O22" s="87"/>
      <c r="P22" s="87">
        <f t="shared" si="1"/>
        <v>0</v>
      </c>
      <c r="R22" s="61"/>
      <c r="S22" s="61"/>
    </row>
    <row r="23" spans="1:19" ht="34.5" customHeight="1">
      <c r="A23" s="10" t="s">
        <v>324</v>
      </c>
      <c r="B23" s="10" t="s">
        <v>33</v>
      </c>
      <c r="C23" s="36" t="s">
        <v>325</v>
      </c>
      <c r="D23" s="81">
        <f>E23+H23</f>
        <v>158000</v>
      </c>
      <c r="E23" s="81">
        <f>50000+48000+42700+2000+13300+2000</f>
        <v>158000</v>
      </c>
      <c r="F23" s="81"/>
      <c r="G23" s="81">
        <f>42700+2000+13300+2000</f>
        <v>60000</v>
      </c>
      <c r="H23" s="81"/>
      <c r="I23" s="81">
        <f t="shared" ref="I23" si="4">L23+O23</f>
        <v>0</v>
      </c>
      <c r="J23" s="81"/>
      <c r="K23" s="82"/>
      <c r="L23" s="81"/>
      <c r="M23" s="81"/>
      <c r="N23" s="81"/>
      <c r="O23" s="81"/>
      <c r="P23" s="81">
        <f t="shared" si="1"/>
        <v>158000</v>
      </c>
    </row>
    <row r="24" spans="1:19" ht="60.75">
      <c r="A24" s="10" t="s">
        <v>132</v>
      </c>
      <c r="B24" s="10" t="s">
        <v>29</v>
      </c>
      <c r="C24" s="36" t="s">
        <v>133</v>
      </c>
      <c r="D24" s="81">
        <f>E24+H24</f>
        <v>-11600</v>
      </c>
      <c r="E24" s="81">
        <f>-19600+8000</f>
        <v>-11600</v>
      </c>
      <c r="F24" s="81">
        <v>-19600</v>
      </c>
      <c r="G24" s="81"/>
      <c r="H24" s="81"/>
      <c r="I24" s="81">
        <f>L24+O24</f>
        <v>0</v>
      </c>
      <c r="J24" s="81"/>
      <c r="K24" s="82"/>
      <c r="L24" s="81"/>
      <c r="M24" s="81"/>
      <c r="N24" s="81"/>
      <c r="O24" s="81"/>
      <c r="P24" s="81">
        <f t="shared" si="1"/>
        <v>-11600</v>
      </c>
    </row>
    <row r="25" spans="1:19" s="17" customFormat="1" ht="18.75">
      <c r="A25" s="15" t="s">
        <v>34</v>
      </c>
      <c r="B25" s="15"/>
      <c r="C25" s="39" t="s">
        <v>14</v>
      </c>
      <c r="D25" s="80">
        <f>D26+D27</f>
        <v>350000</v>
      </c>
      <c r="E25" s="80">
        <f t="shared" ref="E25:H25" si="5">E26+E27</f>
        <v>350000</v>
      </c>
      <c r="F25" s="80">
        <f t="shared" si="5"/>
        <v>0</v>
      </c>
      <c r="G25" s="80">
        <f t="shared" si="5"/>
        <v>0</v>
      </c>
      <c r="H25" s="80">
        <f t="shared" si="5"/>
        <v>0</v>
      </c>
      <c r="I25" s="80">
        <f t="shared" ref="I25" si="6">I26+I27</f>
        <v>-3990485.99</v>
      </c>
      <c r="J25" s="80">
        <f t="shared" ref="J25" si="7">J26+J27</f>
        <v>180000</v>
      </c>
      <c r="K25" s="80">
        <f t="shared" ref="K25:L25" si="8">K26+K27</f>
        <v>180000</v>
      </c>
      <c r="L25" s="80">
        <f t="shared" si="8"/>
        <v>-4170485.99</v>
      </c>
      <c r="M25" s="80">
        <f t="shared" ref="M25" si="9">M26+M27</f>
        <v>0</v>
      </c>
      <c r="N25" s="80">
        <f t="shared" ref="N25" si="10">N26+N27</f>
        <v>0</v>
      </c>
      <c r="O25" s="80">
        <f t="shared" ref="O25" si="11">O26+O27</f>
        <v>180000</v>
      </c>
      <c r="P25" s="83">
        <f t="shared" si="1"/>
        <v>-3640485.99</v>
      </c>
      <c r="R25" s="59"/>
      <c r="S25" s="59"/>
    </row>
    <row r="26" spans="1:19" ht="34.5" customHeight="1">
      <c r="A26" s="10" t="s">
        <v>35</v>
      </c>
      <c r="B26" s="10" t="s">
        <v>36</v>
      </c>
      <c r="C26" s="6" t="s">
        <v>37</v>
      </c>
      <c r="D26" s="84">
        <f>E26+H26</f>
        <v>0</v>
      </c>
      <c r="E26" s="84"/>
      <c r="F26" s="84"/>
      <c r="G26" s="84"/>
      <c r="H26" s="84"/>
      <c r="I26" s="84">
        <f>L26+O26</f>
        <v>-3990485.99</v>
      </c>
      <c r="J26" s="84">
        <v>180000</v>
      </c>
      <c r="K26" s="85">
        <v>180000</v>
      </c>
      <c r="L26" s="84">
        <v>-4170485.99</v>
      </c>
      <c r="M26" s="84"/>
      <c r="N26" s="84"/>
      <c r="O26" s="84">
        <v>180000</v>
      </c>
      <c r="P26" s="84">
        <f t="shared" si="1"/>
        <v>-3990485.99</v>
      </c>
    </row>
    <row r="27" spans="1:19" ht="33" customHeight="1">
      <c r="A27" s="10" t="s">
        <v>218</v>
      </c>
      <c r="B27" s="10" t="s">
        <v>220</v>
      </c>
      <c r="C27" s="6" t="s">
        <v>216</v>
      </c>
      <c r="D27" s="84">
        <f>E27+H27</f>
        <v>350000</v>
      </c>
      <c r="E27" s="84">
        <v>350000</v>
      </c>
      <c r="F27" s="84"/>
      <c r="G27" s="84"/>
      <c r="H27" s="84"/>
      <c r="I27" s="84"/>
      <c r="J27" s="84"/>
      <c r="K27" s="85"/>
      <c r="L27" s="84"/>
      <c r="M27" s="84"/>
      <c r="N27" s="84"/>
      <c r="O27" s="84"/>
      <c r="P27" s="84">
        <f>D27+I27</f>
        <v>350000</v>
      </c>
    </row>
    <row r="28" spans="1:19" s="32" customFormat="1" ht="32.25" customHeight="1">
      <c r="A28" s="30" t="s">
        <v>39</v>
      </c>
      <c r="B28" s="31"/>
      <c r="C28" s="18" t="s">
        <v>7</v>
      </c>
      <c r="D28" s="80">
        <f>D29+D32+D35+D37+D38+D40+D41+D43+D45+D47</f>
        <v>2755820</v>
      </c>
      <c r="E28" s="80">
        <f>E29+E32+E35+E37+E38+E40+E41+E43+E45+E47</f>
        <v>2755820</v>
      </c>
      <c r="F28" s="80">
        <f t="shared" ref="F28:O28" si="12">F29+F32+F35+F38+F40+F41+F45+F47</f>
        <v>562800</v>
      </c>
      <c r="G28" s="80">
        <f t="shared" si="12"/>
        <v>0</v>
      </c>
      <c r="H28" s="80">
        <f t="shared" si="12"/>
        <v>0</v>
      </c>
      <c r="I28" s="80">
        <f t="shared" si="12"/>
        <v>12200</v>
      </c>
      <c r="J28" s="80">
        <f t="shared" si="12"/>
        <v>12200</v>
      </c>
      <c r="K28" s="80">
        <f t="shared" si="12"/>
        <v>12200</v>
      </c>
      <c r="L28" s="80">
        <f t="shared" si="12"/>
        <v>0</v>
      </c>
      <c r="M28" s="80">
        <f t="shared" si="12"/>
        <v>0</v>
      </c>
      <c r="N28" s="80">
        <f t="shared" si="12"/>
        <v>0</v>
      </c>
      <c r="O28" s="80">
        <f t="shared" si="12"/>
        <v>12200</v>
      </c>
      <c r="P28" s="83">
        <f t="shared" si="1"/>
        <v>2768020</v>
      </c>
      <c r="R28" s="69"/>
      <c r="S28" s="69"/>
    </row>
    <row r="29" spans="1:19" s="17" customFormat="1" ht="280.5" customHeight="1">
      <c r="A29" s="15" t="s">
        <v>40</v>
      </c>
      <c r="B29" s="15"/>
      <c r="C29" s="18" t="s">
        <v>341</v>
      </c>
      <c r="D29" s="80">
        <f>D30+D31</f>
        <v>1485700</v>
      </c>
      <c r="E29" s="80">
        <f>E30+E31</f>
        <v>1485700</v>
      </c>
      <c r="F29" s="80">
        <f>F30+F31</f>
        <v>0</v>
      </c>
      <c r="G29" s="80">
        <f>G30+G31</f>
        <v>0</v>
      </c>
      <c r="H29" s="80"/>
      <c r="I29" s="80">
        <f t="shared" ref="I29:O29" si="13">I30+I31</f>
        <v>0</v>
      </c>
      <c r="J29" s="80">
        <f t="shared" si="13"/>
        <v>0</v>
      </c>
      <c r="K29" s="86">
        <f t="shared" si="13"/>
        <v>0</v>
      </c>
      <c r="L29" s="80">
        <f t="shared" si="13"/>
        <v>0</v>
      </c>
      <c r="M29" s="80">
        <f t="shared" si="13"/>
        <v>0</v>
      </c>
      <c r="N29" s="80">
        <f t="shared" si="13"/>
        <v>0</v>
      </c>
      <c r="O29" s="80">
        <f t="shared" si="13"/>
        <v>0</v>
      </c>
      <c r="P29" s="83">
        <f t="shared" si="1"/>
        <v>1485700</v>
      </c>
      <c r="R29" s="59"/>
      <c r="S29" s="59"/>
    </row>
    <row r="30" spans="1:19" ht="48">
      <c r="A30" s="10" t="s">
        <v>42</v>
      </c>
      <c r="B30" s="10" t="s">
        <v>24</v>
      </c>
      <c r="C30" s="8" t="s">
        <v>160</v>
      </c>
      <c r="D30" s="81">
        <f>E30+H30</f>
        <v>6307700</v>
      </c>
      <c r="E30" s="81">
        <f>3500000+1322000+1485700</f>
        <v>6307700</v>
      </c>
      <c r="F30" s="81"/>
      <c r="G30" s="81"/>
      <c r="H30" s="81"/>
      <c r="I30" s="80">
        <f>L30+O30</f>
        <v>0</v>
      </c>
      <c r="J30" s="81"/>
      <c r="K30" s="82"/>
      <c r="L30" s="81"/>
      <c r="M30" s="81"/>
      <c r="N30" s="81"/>
      <c r="O30" s="80"/>
      <c r="P30" s="84">
        <f t="shared" si="1"/>
        <v>6307700</v>
      </c>
    </row>
    <row r="31" spans="1:19" ht="48">
      <c r="A31" s="10" t="s">
        <v>74</v>
      </c>
      <c r="B31" s="10" t="s">
        <v>26</v>
      </c>
      <c r="C31" s="8" t="s">
        <v>92</v>
      </c>
      <c r="D31" s="81">
        <f>E31+H31</f>
        <v>-4822000</v>
      </c>
      <c r="E31" s="81">
        <f>-3500000-1322000</f>
        <v>-4822000</v>
      </c>
      <c r="F31" s="81"/>
      <c r="G31" s="81"/>
      <c r="H31" s="81"/>
      <c r="I31" s="80">
        <f>L31+O31</f>
        <v>0</v>
      </c>
      <c r="J31" s="81"/>
      <c r="K31" s="82"/>
      <c r="L31" s="81"/>
      <c r="M31" s="81"/>
      <c r="N31" s="81"/>
      <c r="O31" s="80"/>
      <c r="P31" s="81">
        <f t="shared" si="1"/>
        <v>-4822000</v>
      </c>
    </row>
    <row r="32" spans="1:19" s="17" customFormat="1" ht="48">
      <c r="A32" s="15" t="s">
        <v>76</v>
      </c>
      <c r="B32" s="15"/>
      <c r="C32" s="18" t="s">
        <v>238</v>
      </c>
      <c r="D32" s="80">
        <f>D33+D34</f>
        <v>-4400000</v>
      </c>
      <c r="E32" s="80">
        <f t="shared" ref="E32:O32" si="14">E33+E34</f>
        <v>-4400000</v>
      </c>
      <c r="F32" s="80">
        <f t="shared" si="14"/>
        <v>0</v>
      </c>
      <c r="G32" s="80">
        <f t="shared" si="14"/>
        <v>0</v>
      </c>
      <c r="H32" s="80">
        <f t="shared" si="14"/>
        <v>0</v>
      </c>
      <c r="I32" s="80">
        <f t="shared" si="14"/>
        <v>0</v>
      </c>
      <c r="J32" s="80">
        <f t="shared" si="14"/>
        <v>0</v>
      </c>
      <c r="K32" s="80">
        <f t="shared" si="14"/>
        <v>0</v>
      </c>
      <c r="L32" s="80">
        <f t="shared" si="14"/>
        <v>0</v>
      </c>
      <c r="M32" s="80">
        <f t="shared" si="14"/>
        <v>0</v>
      </c>
      <c r="N32" s="80">
        <f t="shared" si="14"/>
        <v>0</v>
      </c>
      <c r="O32" s="80">
        <f t="shared" si="14"/>
        <v>0</v>
      </c>
      <c r="P32" s="80">
        <f>P33+P34</f>
        <v>-4400000</v>
      </c>
      <c r="R32" s="59"/>
      <c r="S32" s="59"/>
    </row>
    <row r="33" spans="1:19" s="7" customFormat="1" ht="18.75">
      <c r="A33" s="9" t="s">
        <v>81</v>
      </c>
      <c r="B33" s="9" t="s">
        <v>78</v>
      </c>
      <c r="C33" s="40" t="s">
        <v>82</v>
      </c>
      <c r="D33" s="87">
        <f t="shared" ref="D33:D34" si="15">E33+H33</f>
        <v>-4420000</v>
      </c>
      <c r="E33" s="87">
        <f>-1400000-20000-3000000</f>
        <v>-4420000</v>
      </c>
      <c r="F33" s="87"/>
      <c r="G33" s="87"/>
      <c r="H33" s="87"/>
      <c r="I33" s="80"/>
      <c r="J33" s="87"/>
      <c r="K33" s="88"/>
      <c r="L33" s="87"/>
      <c r="M33" s="87"/>
      <c r="N33" s="87"/>
      <c r="O33" s="87"/>
      <c r="P33" s="87">
        <f t="shared" si="1"/>
        <v>-4420000</v>
      </c>
      <c r="R33" s="60"/>
      <c r="S33" s="60"/>
    </row>
    <row r="34" spans="1:19" s="7" customFormat="1" ht="30.75">
      <c r="A34" s="9" t="s">
        <v>340</v>
      </c>
      <c r="B34" s="9" t="s">
        <v>78</v>
      </c>
      <c r="C34" s="40" t="s">
        <v>339</v>
      </c>
      <c r="D34" s="87">
        <f t="shared" si="15"/>
        <v>20000</v>
      </c>
      <c r="E34" s="87">
        <v>20000</v>
      </c>
      <c r="F34" s="87"/>
      <c r="G34" s="87"/>
      <c r="H34" s="87"/>
      <c r="I34" s="80"/>
      <c r="J34" s="87"/>
      <c r="K34" s="88"/>
      <c r="L34" s="87"/>
      <c r="M34" s="87"/>
      <c r="N34" s="87"/>
      <c r="O34" s="87"/>
      <c r="P34" s="87">
        <f t="shared" si="1"/>
        <v>20000</v>
      </c>
      <c r="R34" s="60"/>
      <c r="S34" s="60"/>
    </row>
    <row r="35" spans="1:19" s="116" customFormat="1" ht="253.5" customHeight="1">
      <c r="A35" s="30" t="s">
        <v>105</v>
      </c>
      <c r="B35" s="30"/>
      <c r="C35" s="115" t="s">
        <v>342</v>
      </c>
      <c r="D35" s="80">
        <f>D36</f>
        <v>4400000</v>
      </c>
      <c r="E35" s="80">
        <f t="shared" ref="E35:O35" si="16">E36</f>
        <v>4400000</v>
      </c>
      <c r="F35" s="80">
        <f t="shared" si="16"/>
        <v>0</v>
      </c>
      <c r="G35" s="80">
        <f t="shared" si="16"/>
        <v>0</v>
      </c>
      <c r="H35" s="80">
        <f t="shared" si="16"/>
        <v>0</v>
      </c>
      <c r="I35" s="80">
        <f t="shared" si="16"/>
        <v>0</v>
      </c>
      <c r="J35" s="80">
        <f t="shared" si="16"/>
        <v>0</v>
      </c>
      <c r="K35" s="80">
        <f t="shared" si="16"/>
        <v>0</v>
      </c>
      <c r="L35" s="80">
        <f t="shared" si="16"/>
        <v>0</v>
      </c>
      <c r="M35" s="80">
        <f t="shared" si="16"/>
        <v>0</v>
      </c>
      <c r="N35" s="80">
        <f t="shared" si="16"/>
        <v>0</v>
      </c>
      <c r="O35" s="80">
        <f t="shared" si="16"/>
        <v>0</v>
      </c>
      <c r="P35" s="80">
        <f t="shared" si="1"/>
        <v>4400000</v>
      </c>
      <c r="R35" s="117"/>
      <c r="S35" s="118"/>
    </row>
    <row r="36" spans="1:19" s="121" customFormat="1" ht="32.25">
      <c r="A36" s="111" t="s">
        <v>328</v>
      </c>
      <c r="B36" s="111" t="s">
        <v>78</v>
      </c>
      <c r="C36" s="8" t="s">
        <v>329</v>
      </c>
      <c r="D36" s="87">
        <f t="shared" ref="D36:D37" si="17">E36+H36</f>
        <v>4400000</v>
      </c>
      <c r="E36" s="87">
        <f>1400000+3000000</f>
        <v>4400000</v>
      </c>
      <c r="F36" s="87"/>
      <c r="G36" s="87"/>
      <c r="H36" s="87"/>
      <c r="I36" s="87"/>
      <c r="J36" s="87"/>
      <c r="K36" s="88"/>
      <c r="L36" s="87"/>
      <c r="M36" s="87"/>
      <c r="N36" s="87"/>
      <c r="O36" s="87"/>
      <c r="P36" s="90">
        <f t="shared" si="1"/>
        <v>4400000</v>
      </c>
      <c r="R36" s="122"/>
      <c r="S36" s="122"/>
    </row>
    <row r="37" spans="1:19" s="123" customFormat="1" ht="32.25">
      <c r="A37" s="30" t="s">
        <v>307</v>
      </c>
      <c r="B37" s="30" t="s">
        <v>24</v>
      </c>
      <c r="C37" s="18" t="s">
        <v>308</v>
      </c>
      <c r="D37" s="80">
        <f t="shared" si="17"/>
        <v>80500</v>
      </c>
      <c r="E37" s="80">
        <v>80500</v>
      </c>
      <c r="F37" s="80"/>
      <c r="G37" s="80"/>
      <c r="H37" s="80"/>
      <c r="I37" s="80"/>
      <c r="J37" s="80"/>
      <c r="K37" s="86"/>
      <c r="L37" s="80"/>
      <c r="M37" s="80"/>
      <c r="N37" s="80"/>
      <c r="O37" s="80"/>
      <c r="P37" s="83">
        <f>D37+I37</f>
        <v>80500</v>
      </c>
      <c r="R37" s="124"/>
      <c r="S37" s="124"/>
    </row>
    <row r="38" spans="1:19" s="19" customFormat="1" ht="63.75">
      <c r="A38" s="15" t="s">
        <v>101</v>
      </c>
      <c r="B38" s="15"/>
      <c r="C38" s="18" t="s">
        <v>244</v>
      </c>
      <c r="D38" s="80">
        <f>D39</f>
        <v>360800</v>
      </c>
      <c r="E38" s="80">
        <f t="shared" ref="E38:O38" si="18">E39</f>
        <v>360800</v>
      </c>
      <c r="F38" s="80">
        <f t="shared" si="18"/>
        <v>360800</v>
      </c>
      <c r="G38" s="80">
        <f t="shared" si="18"/>
        <v>0</v>
      </c>
      <c r="H38" s="80">
        <f t="shared" si="18"/>
        <v>0</v>
      </c>
      <c r="I38" s="80">
        <f t="shared" si="18"/>
        <v>0</v>
      </c>
      <c r="J38" s="80">
        <f t="shared" si="18"/>
        <v>0</v>
      </c>
      <c r="K38" s="80">
        <f t="shared" si="18"/>
        <v>0</v>
      </c>
      <c r="L38" s="80">
        <f t="shared" si="18"/>
        <v>0</v>
      </c>
      <c r="M38" s="80">
        <f t="shared" si="18"/>
        <v>0</v>
      </c>
      <c r="N38" s="80">
        <f t="shared" si="18"/>
        <v>0</v>
      </c>
      <c r="O38" s="80">
        <f t="shared" si="18"/>
        <v>0</v>
      </c>
      <c r="P38" s="80">
        <f>D38+I38</f>
        <v>360800</v>
      </c>
      <c r="R38" s="59"/>
      <c r="S38" s="125"/>
    </row>
    <row r="39" spans="1:19" s="7" customFormat="1" ht="63.75">
      <c r="A39" s="9" t="s">
        <v>102</v>
      </c>
      <c r="B39" s="9" t="s">
        <v>21</v>
      </c>
      <c r="C39" s="8" t="s">
        <v>106</v>
      </c>
      <c r="D39" s="87">
        <f>E39+H39</f>
        <v>360800</v>
      </c>
      <c r="E39" s="87">
        <v>360800</v>
      </c>
      <c r="F39" s="87">
        <v>360800</v>
      </c>
      <c r="G39" s="87"/>
      <c r="H39" s="87"/>
      <c r="I39" s="90">
        <f>L39+O39</f>
        <v>0</v>
      </c>
      <c r="J39" s="90"/>
      <c r="K39" s="91"/>
      <c r="L39" s="90"/>
      <c r="M39" s="90"/>
      <c r="N39" s="90"/>
      <c r="O39" s="90"/>
      <c r="P39" s="90">
        <f t="shared" ref="P39:P40" si="19">D39+I39</f>
        <v>360800</v>
      </c>
      <c r="R39" s="60"/>
      <c r="S39" s="60"/>
    </row>
    <row r="40" spans="1:19" s="19" customFormat="1" ht="79.5">
      <c r="A40" s="15" t="s">
        <v>99</v>
      </c>
      <c r="B40" s="15" t="s">
        <v>78</v>
      </c>
      <c r="C40" s="18" t="s">
        <v>100</v>
      </c>
      <c r="D40" s="83">
        <f>E40+H40</f>
        <v>97654</v>
      </c>
      <c r="E40" s="80">
        <v>97654</v>
      </c>
      <c r="F40" s="80"/>
      <c r="G40" s="80"/>
      <c r="H40" s="80"/>
      <c r="I40" s="80"/>
      <c r="J40" s="80"/>
      <c r="K40" s="86"/>
      <c r="L40" s="80"/>
      <c r="M40" s="80"/>
      <c r="N40" s="80"/>
      <c r="O40" s="80"/>
      <c r="P40" s="80">
        <f t="shared" si="19"/>
        <v>97654</v>
      </c>
      <c r="R40" s="125"/>
      <c r="S40" s="125"/>
    </row>
    <row r="41" spans="1:19" s="17" customFormat="1" ht="32.25">
      <c r="A41" s="15" t="s">
        <v>134</v>
      </c>
      <c r="B41" s="15"/>
      <c r="C41" s="18" t="s">
        <v>98</v>
      </c>
      <c r="D41" s="80">
        <f>D42</f>
        <v>302000</v>
      </c>
      <c r="E41" s="80">
        <f t="shared" ref="E41:O41" si="20">E42</f>
        <v>302000</v>
      </c>
      <c r="F41" s="80">
        <f t="shared" si="20"/>
        <v>202000</v>
      </c>
      <c r="G41" s="80">
        <f t="shared" si="20"/>
        <v>0</v>
      </c>
      <c r="H41" s="80">
        <f t="shared" si="20"/>
        <v>0</v>
      </c>
      <c r="I41" s="80">
        <f t="shared" si="20"/>
        <v>0</v>
      </c>
      <c r="J41" s="80">
        <f t="shared" si="20"/>
        <v>0</v>
      </c>
      <c r="K41" s="80">
        <f t="shared" si="20"/>
        <v>0</v>
      </c>
      <c r="L41" s="80">
        <f t="shared" si="20"/>
        <v>0</v>
      </c>
      <c r="M41" s="80">
        <f t="shared" si="20"/>
        <v>0</v>
      </c>
      <c r="N41" s="80">
        <f t="shared" si="20"/>
        <v>0</v>
      </c>
      <c r="O41" s="80">
        <f t="shared" si="20"/>
        <v>0</v>
      </c>
      <c r="P41" s="80">
        <f>D41+I41</f>
        <v>302000</v>
      </c>
      <c r="R41" s="59"/>
      <c r="S41" s="59"/>
    </row>
    <row r="42" spans="1:19" s="7" customFormat="1" ht="48">
      <c r="A42" s="9" t="s">
        <v>135</v>
      </c>
      <c r="B42" s="9" t="s">
        <v>78</v>
      </c>
      <c r="C42" s="8" t="s">
        <v>136</v>
      </c>
      <c r="D42" s="87">
        <f>E42+H42</f>
        <v>302000</v>
      </c>
      <c r="E42" s="87">
        <f>202000+100000</f>
        <v>302000</v>
      </c>
      <c r="F42" s="87">
        <v>202000</v>
      </c>
      <c r="G42" s="87"/>
      <c r="H42" s="87"/>
      <c r="I42" s="80">
        <f>L42+O42</f>
        <v>0</v>
      </c>
      <c r="J42" s="90"/>
      <c r="K42" s="91"/>
      <c r="L42" s="90"/>
      <c r="M42" s="90"/>
      <c r="N42" s="90"/>
      <c r="O42" s="90"/>
      <c r="P42" s="90">
        <f>D42+I42</f>
        <v>302000</v>
      </c>
      <c r="R42" s="60"/>
      <c r="S42" s="60"/>
    </row>
    <row r="43" spans="1:19" s="12" customFormat="1" ht="32.25">
      <c r="A43" s="15" t="s">
        <v>309</v>
      </c>
      <c r="B43" s="127"/>
      <c r="C43" s="18" t="s">
        <v>310</v>
      </c>
      <c r="D43" s="80">
        <f>D44</f>
        <v>4166</v>
      </c>
      <c r="E43" s="80">
        <f>E44</f>
        <v>4166</v>
      </c>
      <c r="F43" s="80"/>
      <c r="G43" s="80"/>
      <c r="H43" s="80"/>
      <c r="I43" s="80"/>
      <c r="J43" s="80"/>
      <c r="K43" s="86"/>
      <c r="L43" s="80"/>
      <c r="M43" s="80"/>
      <c r="N43" s="80"/>
      <c r="O43" s="80"/>
      <c r="P43" s="80">
        <f>P44</f>
        <v>4166</v>
      </c>
      <c r="R43" s="128"/>
      <c r="S43" s="128"/>
    </row>
    <row r="44" spans="1:19" s="129" customFormat="1" ht="64.5">
      <c r="A44" s="9" t="s">
        <v>311</v>
      </c>
      <c r="B44" s="9" t="s">
        <v>20</v>
      </c>
      <c r="C44" s="8" t="s">
        <v>312</v>
      </c>
      <c r="D44" s="87">
        <f>E44+H44</f>
        <v>4166</v>
      </c>
      <c r="E44" s="87">
        <v>4166</v>
      </c>
      <c r="F44" s="152"/>
      <c r="G44" s="152"/>
      <c r="H44" s="152"/>
      <c r="I44" s="152"/>
      <c r="J44" s="152"/>
      <c r="K44" s="158"/>
      <c r="L44" s="152"/>
      <c r="M44" s="152"/>
      <c r="N44" s="152"/>
      <c r="O44" s="152"/>
      <c r="P44" s="87">
        <f>D44+I44</f>
        <v>4166</v>
      </c>
      <c r="R44" s="130"/>
      <c r="S44" s="130"/>
    </row>
    <row r="45" spans="1:19" s="12" customFormat="1" ht="38.25" customHeight="1">
      <c r="A45" s="15" t="s">
        <v>247</v>
      </c>
      <c r="B45" s="15"/>
      <c r="C45" s="18" t="s">
        <v>104</v>
      </c>
      <c r="D45" s="83">
        <f>D46</f>
        <v>-12200</v>
      </c>
      <c r="E45" s="83">
        <f t="shared" ref="E45:O45" si="21">E46</f>
        <v>-12200</v>
      </c>
      <c r="F45" s="83">
        <f t="shared" si="21"/>
        <v>0</v>
      </c>
      <c r="G45" s="83">
        <f t="shared" si="21"/>
        <v>0</v>
      </c>
      <c r="H45" s="83">
        <f t="shared" si="21"/>
        <v>0</v>
      </c>
      <c r="I45" s="83">
        <f t="shared" si="21"/>
        <v>12200</v>
      </c>
      <c r="J45" s="83">
        <f t="shared" si="21"/>
        <v>12200</v>
      </c>
      <c r="K45" s="83">
        <f t="shared" si="21"/>
        <v>12200</v>
      </c>
      <c r="L45" s="83">
        <f t="shared" si="21"/>
        <v>0</v>
      </c>
      <c r="M45" s="83">
        <f t="shared" si="21"/>
        <v>0</v>
      </c>
      <c r="N45" s="83">
        <f t="shared" si="21"/>
        <v>0</v>
      </c>
      <c r="O45" s="83">
        <f t="shared" si="21"/>
        <v>12200</v>
      </c>
      <c r="P45" s="83">
        <f>P46</f>
        <v>0</v>
      </c>
      <c r="R45" s="128"/>
      <c r="S45" s="128"/>
    </row>
    <row r="46" spans="1:19" s="13" customFormat="1" ht="78" customHeight="1">
      <c r="A46" s="9" t="s">
        <v>248</v>
      </c>
      <c r="B46" s="9" t="s">
        <v>24</v>
      </c>
      <c r="C46" s="8" t="s">
        <v>249</v>
      </c>
      <c r="D46" s="90">
        <f>E46+H46</f>
        <v>-12200</v>
      </c>
      <c r="E46" s="90">
        <v>-12200</v>
      </c>
      <c r="F46" s="90"/>
      <c r="G46" s="90"/>
      <c r="H46" s="90"/>
      <c r="I46" s="90">
        <f>L46+O46</f>
        <v>12200</v>
      </c>
      <c r="J46" s="90">
        <v>12200</v>
      </c>
      <c r="K46" s="91">
        <v>12200</v>
      </c>
      <c r="L46" s="90"/>
      <c r="M46" s="90"/>
      <c r="N46" s="90"/>
      <c r="O46" s="90">
        <v>12200</v>
      </c>
      <c r="P46" s="90">
        <f t="shared" ref="P46" si="22">D46+I46</f>
        <v>0</v>
      </c>
      <c r="R46" s="61"/>
      <c r="S46" s="61"/>
    </row>
    <row r="47" spans="1:19" ht="18.75">
      <c r="A47" s="30" t="s">
        <v>250</v>
      </c>
      <c r="B47" s="30"/>
      <c r="C47" s="18" t="s">
        <v>221</v>
      </c>
      <c r="D47" s="80">
        <f>D48</f>
        <v>437200</v>
      </c>
      <c r="E47" s="80">
        <f>E48</f>
        <v>437200</v>
      </c>
      <c r="F47" s="80">
        <f t="shared" ref="F47:O47" si="23">F48</f>
        <v>0</v>
      </c>
      <c r="G47" s="80">
        <f t="shared" si="23"/>
        <v>0</v>
      </c>
      <c r="H47" s="80"/>
      <c r="I47" s="80">
        <f t="shared" si="23"/>
        <v>0</v>
      </c>
      <c r="J47" s="80">
        <f t="shared" si="23"/>
        <v>0</v>
      </c>
      <c r="K47" s="86">
        <f t="shared" si="23"/>
        <v>0</v>
      </c>
      <c r="L47" s="80">
        <f t="shared" si="23"/>
        <v>0</v>
      </c>
      <c r="M47" s="80">
        <f t="shared" si="23"/>
        <v>0</v>
      </c>
      <c r="N47" s="80">
        <f t="shared" si="23"/>
        <v>0</v>
      </c>
      <c r="O47" s="80">
        <f t="shared" si="23"/>
        <v>0</v>
      </c>
      <c r="P47" s="83">
        <f t="shared" si="1"/>
        <v>437200</v>
      </c>
    </row>
    <row r="48" spans="1:19" ht="32.25">
      <c r="A48" s="10" t="s">
        <v>251</v>
      </c>
      <c r="B48" s="10" t="s">
        <v>28</v>
      </c>
      <c r="C48" s="6" t="s">
        <v>252</v>
      </c>
      <c r="D48" s="81">
        <f>E48</f>
        <v>437200</v>
      </c>
      <c r="E48" s="81">
        <v>437200</v>
      </c>
      <c r="F48" s="81"/>
      <c r="G48" s="81"/>
      <c r="H48" s="81"/>
      <c r="I48" s="80"/>
      <c r="J48" s="81"/>
      <c r="K48" s="82"/>
      <c r="L48" s="81"/>
      <c r="M48" s="81"/>
      <c r="N48" s="81"/>
      <c r="O48" s="81"/>
      <c r="P48" s="84">
        <f t="shared" si="1"/>
        <v>437200</v>
      </c>
    </row>
    <row r="49" spans="1:19" s="17" customFormat="1" ht="18.75">
      <c r="A49" s="15" t="s">
        <v>50</v>
      </c>
      <c r="B49" s="15"/>
      <c r="C49" s="41" t="s">
        <v>9</v>
      </c>
      <c r="D49" s="80">
        <f>D50+D51+D52+D53</f>
        <v>786400</v>
      </c>
      <c r="E49" s="80">
        <f>E50+E51+E52+E53</f>
        <v>786400</v>
      </c>
      <c r="F49" s="80">
        <f>F50+F51+F52+F53</f>
        <v>0</v>
      </c>
      <c r="G49" s="80">
        <f t="shared" ref="G49:O49" si="24">G50+G51+G52+G53</f>
        <v>0</v>
      </c>
      <c r="H49" s="80">
        <f>H51+H52</f>
        <v>0</v>
      </c>
      <c r="I49" s="80">
        <f t="shared" si="24"/>
        <v>1440000</v>
      </c>
      <c r="J49" s="80">
        <f>J50+J51+J52+J53</f>
        <v>1440000</v>
      </c>
      <c r="K49" s="86">
        <f>K50+K51+K52+K53</f>
        <v>1440000</v>
      </c>
      <c r="L49" s="80">
        <f t="shared" si="24"/>
        <v>0</v>
      </c>
      <c r="M49" s="80">
        <f t="shared" si="24"/>
        <v>0</v>
      </c>
      <c r="N49" s="80">
        <f t="shared" si="24"/>
        <v>0</v>
      </c>
      <c r="O49" s="80">
        <f t="shared" si="24"/>
        <v>1440000</v>
      </c>
      <c r="P49" s="80">
        <f t="shared" si="1"/>
        <v>2226400</v>
      </c>
      <c r="R49" s="59"/>
      <c r="S49" s="59"/>
    </row>
    <row r="50" spans="1:19" ht="18.75">
      <c r="A50" s="10" t="s">
        <v>139</v>
      </c>
      <c r="B50" s="10" t="s">
        <v>52</v>
      </c>
      <c r="C50" s="42" t="s">
        <v>142</v>
      </c>
      <c r="D50" s="81">
        <f>E50+H50</f>
        <v>71000</v>
      </c>
      <c r="E50" s="81">
        <f>65000+6000</f>
        <v>71000</v>
      </c>
      <c r="F50" s="81"/>
      <c r="G50" s="81"/>
      <c r="H50" s="81"/>
      <c r="I50" s="81">
        <f>O50+L50</f>
        <v>40000</v>
      </c>
      <c r="J50" s="81">
        <v>40000</v>
      </c>
      <c r="K50" s="82">
        <v>40000</v>
      </c>
      <c r="L50" s="81"/>
      <c r="M50" s="81"/>
      <c r="N50" s="81"/>
      <c r="O50" s="81">
        <v>40000</v>
      </c>
      <c r="P50" s="81">
        <f t="shared" si="1"/>
        <v>111000</v>
      </c>
    </row>
    <row r="51" spans="1:19" ht="18.75">
      <c r="A51" s="10" t="s">
        <v>140</v>
      </c>
      <c r="B51" s="10" t="s">
        <v>52</v>
      </c>
      <c r="C51" s="42" t="s">
        <v>141</v>
      </c>
      <c r="D51" s="81">
        <f>E51+H51</f>
        <v>41400</v>
      </c>
      <c r="E51" s="81">
        <f>40000+1400</f>
        <v>41400</v>
      </c>
      <c r="F51" s="81"/>
      <c r="G51" s="81"/>
      <c r="H51" s="81"/>
      <c r="I51" s="81">
        <f>L51+O51</f>
        <v>0</v>
      </c>
      <c r="J51" s="81"/>
      <c r="K51" s="82"/>
      <c r="L51" s="81"/>
      <c r="M51" s="81"/>
      <c r="N51" s="81"/>
      <c r="O51" s="81"/>
      <c r="P51" s="81">
        <f t="shared" si="1"/>
        <v>41400</v>
      </c>
    </row>
    <row r="52" spans="1:19" ht="45.75">
      <c r="A52" s="10" t="s">
        <v>51</v>
      </c>
      <c r="B52" s="10" t="s">
        <v>53</v>
      </c>
      <c r="C52" s="42" t="s">
        <v>143</v>
      </c>
      <c r="D52" s="81">
        <f>E52+H52</f>
        <v>34000</v>
      </c>
      <c r="E52" s="81">
        <f>9800+20000+4200</f>
        <v>34000</v>
      </c>
      <c r="F52" s="81"/>
      <c r="G52" s="81"/>
      <c r="H52" s="81"/>
      <c r="I52" s="81">
        <f>L52+O52</f>
        <v>1400000</v>
      </c>
      <c r="J52" s="81">
        <v>1400000</v>
      </c>
      <c r="K52" s="82">
        <v>1400000</v>
      </c>
      <c r="L52" s="81"/>
      <c r="M52" s="81"/>
      <c r="N52" s="81"/>
      <c r="O52" s="81">
        <v>1400000</v>
      </c>
      <c r="P52" s="81">
        <f t="shared" si="1"/>
        <v>1434000</v>
      </c>
    </row>
    <row r="53" spans="1:19" ht="30.75">
      <c r="A53" s="10" t="s">
        <v>144</v>
      </c>
      <c r="B53" s="10"/>
      <c r="C53" s="42" t="s">
        <v>145</v>
      </c>
      <c r="D53" s="81">
        <f>D54</f>
        <v>640000</v>
      </c>
      <c r="E53" s="81">
        <f t="shared" ref="E53:O53" si="25">E54</f>
        <v>640000</v>
      </c>
      <c r="F53" s="81">
        <f t="shared" si="25"/>
        <v>0</v>
      </c>
      <c r="G53" s="81">
        <f t="shared" si="25"/>
        <v>0</v>
      </c>
      <c r="H53" s="81">
        <f t="shared" si="25"/>
        <v>0</v>
      </c>
      <c r="I53" s="81">
        <f t="shared" si="25"/>
        <v>0</v>
      </c>
      <c r="J53" s="81">
        <f t="shared" si="25"/>
        <v>0</v>
      </c>
      <c r="K53" s="81">
        <f t="shared" si="25"/>
        <v>0</v>
      </c>
      <c r="L53" s="81">
        <f t="shared" si="25"/>
        <v>0</v>
      </c>
      <c r="M53" s="81">
        <f t="shared" si="25"/>
        <v>0</v>
      </c>
      <c r="N53" s="81">
        <f t="shared" si="25"/>
        <v>0</v>
      </c>
      <c r="O53" s="81">
        <f t="shared" si="25"/>
        <v>0</v>
      </c>
      <c r="P53" s="81">
        <f t="shared" si="1"/>
        <v>640000</v>
      </c>
    </row>
    <row r="54" spans="1:19" s="13" customFormat="1" ht="18.75">
      <c r="A54" s="9" t="s">
        <v>231</v>
      </c>
      <c r="B54" s="9" t="s">
        <v>54</v>
      </c>
      <c r="C54" s="40" t="s">
        <v>233</v>
      </c>
      <c r="D54" s="87">
        <f>E54+H54</f>
        <v>640000</v>
      </c>
      <c r="E54" s="87">
        <v>640000</v>
      </c>
      <c r="F54" s="87"/>
      <c r="G54" s="87"/>
      <c r="H54" s="87"/>
      <c r="I54" s="87"/>
      <c r="J54" s="87"/>
      <c r="K54" s="88"/>
      <c r="L54" s="87"/>
      <c r="M54" s="87"/>
      <c r="N54" s="87"/>
      <c r="O54" s="87"/>
      <c r="P54" s="87">
        <f t="shared" si="1"/>
        <v>640000</v>
      </c>
      <c r="R54" s="61"/>
      <c r="S54" s="61"/>
    </row>
    <row r="55" spans="1:19" s="17" customFormat="1" ht="18.75">
      <c r="A55" s="15" t="s">
        <v>55</v>
      </c>
      <c r="B55" s="15"/>
      <c r="C55" s="41" t="s">
        <v>12</v>
      </c>
      <c r="D55" s="80">
        <f>D56</f>
        <v>25100</v>
      </c>
      <c r="E55" s="80">
        <f t="shared" ref="E55:O55" si="26">E56</f>
        <v>25100</v>
      </c>
      <c r="F55" s="80">
        <f t="shared" si="26"/>
        <v>0</v>
      </c>
      <c r="G55" s="80">
        <f t="shared" si="26"/>
        <v>25100</v>
      </c>
      <c r="H55" s="80">
        <f t="shared" si="26"/>
        <v>0</v>
      </c>
      <c r="I55" s="80">
        <f t="shared" si="26"/>
        <v>0</v>
      </c>
      <c r="J55" s="80">
        <f t="shared" si="26"/>
        <v>0</v>
      </c>
      <c r="K55" s="80">
        <f t="shared" si="26"/>
        <v>0</v>
      </c>
      <c r="L55" s="80">
        <f t="shared" si="26"/>
        <v>0</v>
      </c>
      <c r="M55" s="80">
        <f t="shared" si="26"/>
        <v>0</v>
      </c>
      <c r="N55" s="80">
        <f t="shared" si="26"/>
        <v>0</v>
      </c>
      <c r="O55" s="80">
        <f t="shared" si="26"/>
        <v>0</v>
      </c>
      <c r="P55" s="80">
        <f t="shared" si="1"/>
        <v>25100</v>
      </c>
      <c r="R55" s="59"/>
      <c r="S55" s="59"/>
    </row>
    <row r="56" spans="1:19" ht="34.5" customHeight="1">
      <c r="A56" s="10" t="s">
        <v>113</v>
      </c>
      <c r="B56" s="10"/>
      <c r="C56" s="11" t="s">
        <v>112</v>
      </c>
      <c r="D56" s="81">
        <f>D57</f>
        <v>25100</v>
      </c>
      <c r="E56" s="81">
        <f>E57</f>
        <v>25100</v>
      </c>
      <c r="F56" s="81">
        <f>F57</f>
        <v>0</v>
      </c>
      <c r="G56" s="81">
        <f>G57</f>
        <v>25100</v>
      </c>
      <c r="H56" s="81"/>
      <c r="I56" s="81">
        <f>L56+O56</f>
        <v>0</v>
      </c>
      <c r="J56" s="81">
        <f>J57</f>
        <v>0</v>
      </c>
      <c r="K56" s="82">
        <f>K57</f>
        <v>0</v>
      </c>
      <c r="L56" s="81">
        <f>L57</f>
        <v>0</v>
      </c>
      <c r="M56" s="81"/>
      <c r="N56" s="81"/>
      <c r="O56" s="81">
        <f>O57</f>
        <v>0</v>
      </c>
      <c r="P56" s="81">
        <f>P57</f>
        <v>25100</v>
      </c>
    </row>
    <row r="57" spans="1:19" s="7" customFormat="1" ht="46.5" customHeight="1">
      <c r="A57" s="9" t="s">
        <v>114</v>
      </c>
      <c r="B57" s="9" t="s">
        <v>59</v>
      </c>
      <c r="C57" s="40" t="s">
        <v>117</v>
      </c>
      <c r="D57" s="87">
        <f>E57+H57</f>
        <v>25100</v>
      </c>
      <c r="E57" s="87">
        <f>12000+1000+12100</f>
        <v>25100</v>
      </c>
      <c r="F57" s="87"/>
      <c r="G57" s="87">
        <f>12000+1000+12100</f>
        <v>25100</v>
      </c>
      <c r="H57" s="87"/>
      <c r="I57" s="87">
        <f>L57+O57</f>
        <v>0</v>
      </c>
      <c r="J57" s="87"/>
      <c r="K57" s="88"/>
      <c r="L57" s="87"/>
      <c r="M57" s="87"/>
      <c r="N57" s="87"/>
      <c r="O57" s="87"/>
      <c r="P57" s="87">
        <f>D57+I57</f>
        <v>25100</v>
      </c>
      <c r="R57" s="60"/>
      <c r="S57" s="60"/>
    </row>
    <row r="58" spans="1:19" ht="21" customHeight="1">
      <c r="A58" s="15" t="s">
        <v>46</v>
      </c>
      <c r="B58" s="10"/>
      <c r="C58" s="16" t="s">
        <v>8</v>
      </c>
      <c r="D58" s="80">
        <f>D59+D62</f>
        <v>2434065.4700000002</v>
      </c>
      <c r="E58" s="80">
        <f t="shared" ref="E58:O58" si="27">E59+E62</f>
        <v>2434065.4700000002</v>
      </c>
      <c r="F58" s="80">
        <f t="shared" si="27"/>
        <v>0</v>
      </c>
      <c r="G58" s="80">
        <f t="shared" si="27"/>
        <v>0</v>
      </c>
      <c r="H58" s="80">
        <f t="shared" si="27"/>
        <v>0</v>
      </c>
      <c r="I58" s="80">
        <f t="shared" si="27"/>
        <v>824788</v>
      </c>
      <c r="J58" s="80">
        <f t="shared" si="27"/>
        <v>824788</v>
      </c>
      <c r="K58" s="80">
        <f t="shared" si="27"/>
        <v>604000</v>
      </c>
      <c r="L58" s="80">
        <f t="shared" si="27"/>
        <v>0</v>
      </c>
      <c r="M58" s="80">
        <f t="shared" si="27"/>
        <v>0</v>
      </c>
      <c r="N58" s="80">
        <f t="shared" si="27"/>
        <v>0</v>
      </c>
      <c r="O58" s="80">
        <f t="shared" si="27"/>
        <v>824788</v>
      </c>
      <c r="P58" s="80">
        <f t="shared" si="1"/>
        <v>3258853.47</v>
      </c>
    </row>
    <row r="59" spans="1:19" s="44" customFormat="1" ht="53.25" customHeight="1">
      <c r="A59" s="30" t="s">
        <v>47</v>
      </c>
      <c r="B59" s="30"/>
      <c r="C59" s="18" t="s">
        <v>226</v>
      </c>
      <c r="D59" s="80">
        <f>D61</f>
        <v>2518065.4700000002</v>
      </c>
      <c r="E59" s="80">
        <f t="shared" ref="E59:H59" si="28">E61</f>
        <v>2518065.4700000002</v>
      </c>
      <c r="F59" s="80">
        <f t="shared" si="28"/>
        <v>0</v>
      </c>
      <c r="G59" s="80">
        <f t="shared" si="28"/>
        <v>0</v>
      </c>
      <c r="H59" s="80">
        <f t="shared" si="28"/>
        <v>0</v>
      </c>
      <c r="I59" s="80">
        <f>I60+I61</f>
        <v>550213</v>
      </c>
      <c r="J59" s="80">
        <f t="shared" ref="J59:O59" si="29">J60+J61</f>
        <v>550213</v>
      </c>
      <c r="K59" s="80">
        <f t="shared" si="29"/>
        <v>480000</v>
      </c>
      <c r="L59" s="80">
        <f t="shared" si="29"/>
        <v>0</v>
      </c>
      <c r="M59" s="80">
        <f t="shared" si="29"/>
        <v>0</v>
      </c>
      <c r="N59" s="80">
        <f t="shared" si="29"/>
        <v>0</v>
      </c>
      <c r="O59" s="80">
        <f t="shared" si="29"/>
        <v>550213</v>
      </c>
      <c r="P59" s="80">
        <f>D59+I59</f>
        <v>3068278.47</v>
      </c>
      <c r="R59" s="70"/>
      <c r="S59" s="70"/>
    </row>
    <row r="60" spans="1:19" ht="32.25">
      <c r="A60" s="9" t="s">
        <v>167</v>
      </c>
      <c r="B60" s="9" t="s">
        <v>203</v>
      </c>
      <c r="C60" s="8" t="s">
        <v>227</v>
      </c>
      <c r="D60" s="87">
        <f>E60+H60</f>
        <v>0</v>
      </c>
      <c r="E60" s="87"/>
      <c r="F60" s="87"/>
      <c r="G60" s="87"/>
      <c r="H60" s="87"/>
      <c r="I60" s="87">
        <f t="shared" ref="I60" si="30">O60+L60</f>
        <v>550213</v>
      </c>
      <c r="J60" s="87">
        <f>480000+100000+65213-95000</f>
        <v>550213</v>
      </c>
      <c r="K60" s="88">
        <f>480000</f>
        <v>480000</v>
      </c>
      <c r="L60" s="87"/>
      <c r="M60" s="87"/>
      <c r="N60" s="87"/>
      <c r="O60" s="87">
        <f>480000+100000+65213-95000</f>
        <v>550213</v>
      </c>
      <c r="P60" s="87">
        <f>D60+I60</f>
        <v>550213</v>
      </c>
    </row>
    <row r="61" spans="1:19" ht="49.5" customHeight="1">
      <c r="A61" s="9" t="s">
        <v>171</v>
      </c>
      <c r="B61" s="9" t="s">
        <v>49</v>
      </c>
      <c r="C61" s="25" t="s">
        <v>170</v>
      </c>
      <c r="D61" s="87">
        <f>E61+H61</f>
        <v>2518065.4700000002</v>
      </c>
      <c r="E61" s="87">
        <v>2518065.4700000002</v>
      </c>
      <c r="F61" s="87"/>
      <c r="G61" s="87"/>
      <c r="H61" s="87"/>
      <c r="I61" s="87">
        <f t="shared" ref="I61" si="31">O61+L61</f>
        <v>0</v>
      </c>
      <c r="J61" s="87"/>
      <c r="K61" s="88"/>
      <c r="L61" s="87"/>
      <c r="M61" s="87"/>
      <c r="N61" s="87"/>
      <c r="O61" s="87"/>
      <c r="P61" s="87">
        <f t="shared" ref="P61:P62" si="32">D61+I61</f>
        <v>2518065.4700000002</v>
      </c>
    </row>
    <row r="62" spans="1:19" s="44" customFormat="1" ht="38.25" customHeight="1">
      <c r="A62" s="30" t="s">
        <v>48</v>
      </c>
      <c r="B62" s="30" t="s">
        <v>49</v>
      </c>
      <c r="C62" s="79" t="s">
        <v>159</v>
      </c>
      <c r="D62" s="83">
        <f>E62+H62</f>
        <v>-84000</v>
      </c>
      <c r="E62" s="83">
        <f>40000-99000-25000</f>
        <v>-84000</v>
      </c>
      <c r="F62" s="83"/>
      <c r="G62" s="83"/>
      <c r="H62" s="83"/>
      <c r="I62" s="83">
        <f>O62</f>
        <v>274575</v>
      </c>
      <c r="J62" s="83">
        <f>-459212+99000+600000+50000+80000-50000-100000+29787+25000</f>
        <v>274575</v>
      </c>
      <c r="K62" s="89">
        <f>99000+25000</f>
        <v>124000</v>
      </c>
      <c r="L62" s="83"/>
      <c r="M62" s="83"/>
      <c r="N62" s="83"/>
      <c r="O62" s="83">
        <f>-459212+99000+600000+50000+80000-50000-100000+29787+25000</f>
        <v>274575</v>
      </c>
      <c r="P62" s="80">
        <f t="shared" si="32"/>
        <v>190575</v>
      </c>
      <c r="R62" s="70"/>
      <c r="S62" s="70"/>
    </row>
    <row r="63" spans="1:19" s="14" customFormat="1" ht="25.5" customHeight="1">
      <c r="A63" s="15" t="s">
        <v>155</v>
      </c>
      <c r="B63" s="10"/>
      <c r="C63" s="16" t="s">
        <v>156</v>
      </c>
      <c r="D63" s="80">
        <f>D64+D66</f>
        <v>0</v>
      </c>
      <c r="E63" s="80">
        <f t="shared" ref="E63:O63" si="33">E64+E66</f>
        <v>0</v>
      </c>
      <c r="F63" s="80">
        <f t="shared" si="33"/>
        <v>0</v>
      </c>
      <c r="G63" s="80">
        <f t="shared" si="33"/>
        <v>0</v>
      </c>
      <c r="H63" s="80">
        <f t="shared" si="33"/>
        <v>0</v>
      </c>
      <c r="I63" s="80">
        <f t="shared" si="33"/>
        <v>-273208</v>
      </c>
      <c r="J63" s="80">
        <f t="shared" si="33"/>
        <v>-273208</v>
      </c>
      <c r="K63" s="80">
        <f t="shared" si="33"/>
        <v>-2323700</v>
      </c>
      <c r="L63" s="80">
        <f t="shared" si="33"/>
        <v>0</v>
      </c>
      <c r="M63" s="80">
        <f t="shared" si="33"/>
        <v>0</v>
      </c>
      <c r="N63" s="80">
        <f t="shared" si="33"/>
        <v>0</v>
      </c>
      <c r="O63" s="80">
        <f t="shared" si="33"/>
        <v>-273208</v>
      </c>
      <c r="P63" s="83">
        <f>D63+I63</f>
        <v>-273208</v>
      </c>
      <c r="R63" s="71"/>
      <c r="S63" s="71"/>
    </row>
    <row r="64" spans="1:19" ht="18.75">
      <c r="A64" s="15" t="s">
        <v>123</v>
      </c>
      <c r="B64" s="10"/>
      <c r="C64" s="16" t="s">
        <v>157</v>
      </c>
      <c r="D64" s="80">
        <f>D65</f>
        <v>0</v>
      </c>
      <c r="E64" s="80">
        <f t="shared" ref="E64:O64" si="34">E65</f>
        <v>0</v>
      </c>
      <c r="F64" s="80">
        <f t="shared" si="34"/>
        <v>0</v>
      </c>
      <c r="G64" s="80">
        <f t="shared" si="34"/>
        <v>0</v>
      </c>
      <c r="H64" s="80">
        <f t="shared" si="34"/>
        <v>0</v>
      </c>
      <c r="I64" s="80">
        <f t="shared" si="34"/>
        <v>-2983700</v>
      </c>
      <c r="J64" s="80">
        <f t="shared" si="34"/>
        <v>-2983700</v>
      </c>
      <c r="K64" s="80">
        <f t="shared" si="34"/>
        <v>-2473700</v>
      </c>
      <c r="L64" s="80">
        <f t="shared" si="34"/>
        <v>0</v>
      </c>
      <c r="M64" s="80">
        <f t="shared" si="34"/>
        <v>0</v>
      </c>
      <c r="N64" s="80">
        <f t="shared" si="34"/>
        <v>0</v>
      </c>
      <c r="O64" s="80">
        <f t="shared" si="34"/>
        <v>-2983700</v>
      </c>
      <c r="P64" s="80">
        <f>D64+I64</f>
        <v>-2983700</v>
      </c>
    </row>
    <row r="65" spans="1:19" s="13" customFormat="1" ht="32.25">
      <c r="A65" s="10" t="s">
        <v>234</v>
      </c>
      <c r="B65" s="10" t="s">
        <v>61</v>
      </c>
      <c r="C65" s="20" t="s">
        <v>176</v>
      </c>
      <c r="D65" s="90"/>
      <c r="E65" s="90"/>
      <c r="F65" s="90"/>
      <c r="G65" s="90"/>
      <c r="H65" s="90"/>
      <c r="I65" s="81">
        <f>L65+O65</f>
        <v>-2983700</v>
      </c>
      <c r="J65" s="81">
        <f>-1073700-1400000+950000+540000-2000000</f>
        <v>-2983700</v>
      </c>
      <c r="K65" s="82">
        <f>-1073700-1400000</f>
        <v>-2473700</v>
      </c>
      <c r="L65" s="90"/>
      <c r="M65" s="90"/>
      <c r="N65" s="90"/>
      <c r="O65" s="81">
        <f>-1073700-1400000+950000+540000-2000000</f>
        <v>-2983700</v>
      </c>
      <c r="P65" s="81">
        <f t="shared" ref="P65:P72" si="35">D65+I65</f>
        <v>-2983700</v>
      </c>
      <c r="R65" s="61"/>
      <c r="S65" s="61"/>
    </row>
    <row r="66" spans="1:19" ht="32.25">
      <c r="A66" s="15" t="s">
        <v>177</v>
      </c>
      <c r="B66" s="9"/>
      <c r="C66" s="27" t="s">
        <v>178</v>
      </c>
      <c r="D66" s="80">
        <f>D67+D68</f>
        <v>0</v>
      </c>
      <c r="E66" s="80">
        <f t="shared" ref="E66:O66" si="36">E67+E68</f>
        <v>0</v>
      </c>
      <c r="F66" s="80">
        <f t="shared" si="36"/>
        <v>0</v>
      </c>
      <c r="G66" s="80">
        <f t="shared" si="36"/>
        <v>0</v>
      </c>
      <c r="H66" s="80">
        <f t="shared" si="36"/>
        <v>0</v>
      </c>
      <c r="I66" s="80">
        <f t="shared" si="36"/>
        <v>2710492</v>
      </c>
      <c r="J66" s="80">
        <f t="shared" si="36"/>
        <v>2710492</v>
      </c>
      <c r="K66" s="80">
        <f t="shared" si="36"/>
        <v>150000</v>
      </c>
      <c r="L66" s="80">
        <f t="shared" si="36"/>
        <v>0</v>
      </c>
      <c r="M66" s="80">
        <f t="shared" si="36"/>
        <v>0</v>
      </c>
      <c r="N66" s="80">
        <f t="shared" si="36"/>
        <v>0</v>
      </c>
      <c r="O66" s="80">
        <f t="shared" si="36"/>
        <v>2710492</v>
      </c>
      <c r="P66" s="83">
        <f t="shared" si="35"/>
        <v>2710492</v>
      </c>
    </row>
    <row r="67" spans="1:19" ht="18.75">
      <c r="A67" s="10" t="s">
        <v>179</v>
      </c>
      <c r="B67" s="10" t="s">
        <v>67</v>
      </c>
      <c r="C67" s="6" t="s">
        <v>68</v>
      </c>
      <c r="D67" s="81">
        <f>E67+H67</f>
        <v>0</v>
      </c>
      <c r="E67" s="81"/>
      <c r="F67" s="81"/>
      <c r="G67" s="81"/>
      <c r="H67" s="81"/>
      <c r="I67" s="81">
        <f>O67+L67</f>
        <v>2560492</v>
      </c>
      <c r="J67" s="81">
        <f>2157847+640000-152023-85332</f>
        <v>2560492</v>
      </c>
      <c r="K67" s="82"/>
      <c r="L67" s="81"/>
      <c r="M67" s="81"/>
      <c r="N67" s="81"/>
      <c r="O67" s="81">
        <f>2157847+640000-152023-85332</f>
        <v>2560492</v>
      </c>
      <c r="P67" s="81">
        <f t="shared" si="35"/>
        <v>2560492</v>
      </c>
    </row>
    <row r="68" spans="1:19" ht="26.25" customHeight="1">
      <c r="A68" s="10" t="s">
        <v>204</v>
      </c>
      <c r="B68" s="10"/>
      <c r="C68" s="21" t="s">
        <v>205</v>
      </c>
      <c r="D68" s="81">
        <f>D69</f>
        <v>0</v>
      </c>
      <c r="E68" s="81">
        <f t="shared" ref="E68:O68" si="37">E69</f>
        <v>0</v>
      </c>
      <c r="F68" s="81">
        <f t="shared" si="37"/>
        <v>0</v>
      </c>
      <c r="G68" s="81">
        <f t="shared" si="37"/>
        <v>0</v>
      </c>
      <c r="H68" s="81">
        <f t="shared" si="37"/>
        <v>0</v>
      </c>
      <c r="I68" s="81">
        <f t="shared" si="37"/>
        <v>150000</v>
      </c>
      <c r="J68" s="81">
        <f t="shared" si="37"/>
        <v>150000</v>
      </c>
      <c r="K68" s="81">
        <f t="shared" si="37"/>
        <v>150000</v>
      </c>
      <c r="L68" s="81">
        <f t="shared" si="37"/>
        <v>0</v>
      </c>
      <c r="M68" s="81">
        <f t="shared" si="37"/>
        <v>0</v>
      </c>
      <c r="N68" s="81">
        <f t="shared" si="37"/>
        <v>0</v>
      </c>
      <c r="O68" s="81">
        <f t="shared" si="37"/>
        <v>150000</v>
      </c>
      <c r="P68" s="84">
        <f t="shared" si="35"/>
        <v>150000</v>
      </c>
    </row>
    <row r="69" spans="1:19" s="51" customFormat="1" ht="36" customHeight="1">
      <c r="A69" s="50" t="s">
        <v>235</v>
      </c>
      <c r="B69" s="50" t="s">
        <v>61</v>
      </c>
      <c r="C69" s="25" t="s">
        <v>259</v>
      </c>
      <c r="D69" s="155">
        <f>E69+H69</f>
        <v>0</v>
      </c>
      <c r="E69" s="155"/>
      <c r="F69" s="155"/>
      <c r="G69" s="155"/>
      <c r="H69" s="155"/>
      <c r="I69" s="155">
        <f>L69+O69</f>
        <v>150000</v>
      </c>
      <c r="J69" s="155">
        <v>150000</v>
      </c>
      <c r="K69" s="159">
        <v>150000</v>
      </c>
      <c r="L69" s="155">
        <v>0</v>
      </c>
      <c r="M69" s="155"/>
      <c r="N69" s="155"/>
      <c r="O69" s="155">
        <v>150000</v>
      </c>
      <c r="P69" s="155">
        <f t="shared" si="35"/>
        <v>150000</v>
      </c>
      <c r="R69" s="133"/>
      <c r="S69" s="133"/>
    </row>
    <row r="70" spans="1:19" ht="18.75">
      <c r="A70" s="15" t="s">
        <v>188</v>
      </c>
      <c r="B70" s="10"/>
      <c r="C70" s="16" t="s">
        <v>189</v>
      </c>
      <c r="D70" s="80">
        <f>D71+D72</f>
        <v>-107000</v>
      </c>
      <c r="E70" s="80">
        <f t="shared" ref="E70:O70" si="38">E71+E72</f>
        <v>-107000</v>
      </c>
      <c r="F70" s="80">
        <f t="shared" si="38"/>
        <v>0</v>
      </c>
      <c r="G70" s="80">
        <f t="shared" si="38"/>
        <v>0</v>
      </c>
      <c r="H70" s="80">
        <f t="shared" si="38"/>
        <v>0</v>
      </c>
      <c r="I70" s="80">
        <f t="shared" si="38"/>
        <v>707000</v>
      </c>
      <c r="J70" s="80">
        <f t="shared" si="38"/>
        <v>707000</v>
      </c>
      <c r="K70" s="80">
        <f t="shared" si="38"/>
        <v>707000</v>
      </c>
      <c r="L70" s="80">
        <f t="shared" si="38"/>
        <v>0</v>
      </c>
      <c r="M70" s="80">
        <f t="shared" si="38"/>
        <v>0</v>
      </c>
      <c r="N70" s="80">
        <f t="shared" si="38"/>
        <v>0</v>
      </c>
      <c r="O70" s="80">
        <f t="shared" si="38"/>
        <v>707000</v>
      </c>
      <c r="P70" s="80">
        <f t="shared" si="35"/>
        <v>600000</v>
      </c>
    </row>
    <row r="71" spans="1:19" s="48" customFormat="1" ht="18.75">
      <c r="A71" s="15" t="s">
        <v>274</v>
      </c>
      <c r="B71" s="15" t="s">
        <v>16</v>
      </c>
      <c r="C71" s="63" t="s">
        <v>275</v>
      </c>
      <c r="D71" s="80"/>
      <c r="E71" s="80"/>
      <c r="F71" s="80"/>
      <c r="G71" s="80"/>
      <c r="H71" s="80"/>
      <c r="I71" s="80">
        <f>O71</f>
        <v>300000</v>
      </c>
      <c r="J71" s="80">
        <v>300000</v>
      </c>
      <c r="K71" s="86">
        <v>300000</v>
      </c>
      <c r="L71" s="80"/>
      <c r="M71" s="80"/>
      <c r="N71" s="80"/>
      <c r="O71" s="80">
        <v>300000</v>
      </c>
      <c r="P71" s="80">
        <f t="shared" si="35"/>
        <v>300000</v>
      </c>
      <c r="R71" s="70"/>
      <c r="S71" s="70"/>
    </row>
    <row r="72" spans="1:19" s="48" customFormat="1" ht="77.25" customHeight="1">
      <c r="A72" s="15" t="s">
        <v>269</v>
      </c>
      <c r="B72" s="15" t="s">
        <v>16</v>
      </c>
      <c r="C72" s="27" t="s">
        <v>270</v>
      </c>
      <c r="D72" s="80">
        <f>E72+H72</f>
        <v>-107000</v>
      </c>
      <c r="E72" s="80">
        <f>7000+20000-134000</f>
        <v>-107000</v>
      </c>
      <c r="F72" s="80"/>
      <c r="G72" s="80"/>
      <c r="H72" s="80"/>
      <c r="I72" s="80">
        <f>O72</f>
        <v>407000</v>
      </c>
      <c r="J72" s="80">
        <f>-7000+280000+134000</f>
        <v>407000</v>
      </c>
      <c r="K72" s="86">
        <f>-7000+280000+134000</f>
        <v>407000</v>
      </c>
      <c r="L72" s="80"/>
      <c r="M72" s="80"/>
      <c r="N72" s="80"/>
      <c r="O72" s="80">
        <f>-7000+280000+134000</f>
        <v>407000</v>
      </c>
      <c r="P72" s="80">
        <f t="shared" si="35"/>
        <v>300000</v>
      </c>
      <c r="R72" s="70"/>
      <c r="S72" s="70"/>
    </row>
    <row r="73" spans="1:19" ht="26.25" customHeight="1">
      <c r="A73" s="10"/>
      <c r="B73" s="10"/>
      <c r="C73" s="16" t="s">
        <v>4</v>
      </c>
      <c r="D73" s="80">
        <f>D12+D16+D25+D28+D49+D55+D58+D63+D70</f>
        <v>6307166.4700000007</v>
      </c>
      <c r="E73" s="80">
        <f t="shared" ref="E73:O73" si="39">E12+E16+E25+E28+E49+E55+E58+E63+E70</f>
        <v>6307166.4700000007</v>
      </c>
      <c r="F73" s="80">
        <f t="shared" si="39"/>
        <v>552039</v>
      </c>
      <c r="G73" s="80">
        <f t="shared" si="39"/>
        <v>-728000</v>
      </c>
      <c r="H73" s="80">
        <f t="shared" si="39"/>
        <v>0</v>
      </c>
      <c r="I73" s="80">
        <f t="shared" si="39"/>
        <v>-1466684.9900000002</v>
      </c>
      <c r="J73" s="80">
        <f t="shared" si="39"/>
        <v>2703801</v>
      </c>
      <c r="K73" s="80">
        <f t="shared" si="39"/>
        <v>453801</v>
      </c>
      <c r="L73" s="80">
        <f t="shared" si="39"/>
        <v>-4170485.99</v>
      </c>
      <c r="M73" s="80">
        <f t="shared" si="39"/>
        <v>0</v>
      </c>
      <c r="N73" s="80">
        <f t="shared" si="39"/>
        <v>0</v>
      </c>
      <c r="O73" s="80">
        <f t="shared" si="39"/>
        <v>2703801</v>
      </c>
      <c r="P73" s="80">
        <f>D73+I73</f>
        <v>4840481.4800000004</v>
      </c>
    </row>
    <row r="74" spans="1:19" s="164" customFormat="1" ht="18.75">
      <c r="D74" s="169" t="s">
        <v>347</v>
      </c>
      <c r="E74" s="169"/>
      <c r="F74" s="169"/>
      <c r="G74" s="165"/>
      <c r="H74" s="166"/>
      <c r="K74" s="167"/>
      <c r="L74" s="167"/>
      <c r="M74" s="169" t="s">
        <v>348</v>
      </c>
      <c r="N74" s="167"/>
      <c r="O74" s="167"/>
      <c r="P74" s="167"/>
      <c r="Q74" s="167"/>
    </row>
    <row r="75" spans="1:19">
      <c r="A75" s="56"/>
      <c r="B75" s="56"/>
      <c r="C75" s="72" t="s">
        <v>320</v>
      </c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</row>
    <row r="77" spans="1:19" s="77" customFormat="1" ht="18.75">
      <c r="A77" s="74"/>
      <c r="B77" s="74"/>
      <c r="C77" s="75" t="s">
        <v>338</v>
      </c>
      <c r="D77" s="168">
        <f>D73+'зі змінами 09.04.19'!D156</f>
        <v>774517818.67000008</v>
      </c>
      <c r="E77" s="168">
        <f>E73+'зі змінами 09.04.19'!E156</f>
        <v>769268844.67000008</v>
      </c>
      <c r="F77" s="168">
        <f>F73+'зі змінами 09.04.19'!F156</f>
        <v>289845739</v>
      </c>
      <c r="G77" s="168">
        <f>G73+'зі змінами 09.04.19'!G156</f>
        <v>28011200</v>
      </c>
      <c r="H77" s="168">
        <f>H73+'зі змінами 09.04.19'!H156</f>
        <v>248974</v>
      </c>
      <c r="I77" s="168">
        <f>I73+'зі змінами 09.04.19'!I156</f>
        <v>262664418.86999997</v>
      </c>
      <c r="J77" s="168">
        <f>J73+'зі змінами 09.04.19'!J156</f>
        <v>236646432.79999998</v>
      </c>
      <c r="K77" s="168">
        <f>K73+'зі змінами 09.04.19'!K156</f>
        <v>184498123.20999998</v>
      </c>
      <c r="L77" s="168">
        <f>L73+'зі змінами 09.04.19'!L156</f>
        <v>18566315.009999998</v>
      </c>
      <c r="M77" s="168">
        <f>M73+'зі змінами 09.04.19'!M156</f>
        <v>380500</v>
      </c>
      <c r="N77" s="168">
        <f>N73+'зі змінами 09.04.19'!N156</f>
        <v>0</v>
      </c>
      <c r="O77" s="168">
        <f>O73+'зі змінами 09.04.19'!O156</f>
        <v>244098103.85999998</v>
      </c>
      <c r="P77" s="168">
        <f>P73+'зі змінами 09.04.19'!P156</f>
        <v>1037182237.5400001</v>
      </c>
      <c r="R77" s="78"/>
      <c r="S77" s="78"/>
    </row>
    <row r="78" spans="1:19"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</row>
  </sheetData>
  <mergeCells count="21">
    <mergeCell ref="H8:H10"/>
    <mergeCell ref="I8:I10"/>
    <mergeCell ref="J8:J10"/>
    <mergeCell ref="K8:K10"/>
    <mergeCell ref="L8:L10"/>
    <mergeCell ref="A5:P5"/>
    <mergeCell ref="A7:A10"/>
    <mergeCell ref="B7:B10"/>
    <mergeCell ref="C7:C10"/>
    <mergeCell ref="D7:H7"/>
    <mergeCell ref="I7:O7"/>
    <mergeCell ref="P7:P10"/>
    <mergeCell ref="D8:D10"/>
    <mergeCell ref="E8:E10"/>
    <mergeCell ref="M8:N8"/>
    <mergeCell ref="O8:O10"/>
    <mergeCell ref="F9:F10"/>
    <mergeCell ref="G9:G10"/>
    <mergeCell ref="M9:M10"/>
    <mergeCell ref="N9:N10"/>
    <mergeCell ref="F8:G8"/>
  </mergeCells>
  <pageMargins left="0.19685039370078741" right="0.19685039370078741" top="0.19685039370078741" bottom="0.19685039370078741" header="0.19685039370078741" footer="0.19685039370078741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початковий</vt:lpstr>
      <vt:lpstr>зміни квітень</vt:lpstr>
      <vt:lpstr>зі змінами 09.04.19</vt:lpstr>
      <vt:lpstr>зміни червень</vt:lpstr>
      <vt:lpstr>'зі змінами 09.04.19'!Заголовки_для_печати</vt:lpstr>
      <vt:lpstr>'зміни квітень'!Заголовки_для_печати</vt:lpstr>
      <vt:lpstr>початковий!Заголовки_для_печати</vt:lpstr>
      <vt:lpstr>'зі змінами 09.04.19'!Область_печати</vt:lpstr>
      <vt:lpstr>'зміни квітень'!Область_печати</vt:lpstr>
      <vt:lpstr>'зміни червень'!Область_печати</vt:lpstr>
      <vt:lpstr>початковий!Область_печати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2019-06-10T07:23:13Z</cp:lastPrinted>
  <dcterms:created xsi:type="dcterms:W3CDTF">2012-12-15T07:40:07Z</dcterms:created>
  <dcterms:modified xsi:type="dcterms:W3CDTF">2019-06-25T05:58:33Z</dcterms:modified>
</cp:coreProperties>
</file>