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9320" windowHeight="9735" activeTab="3"/>
  </bookViews>
  <sheets>
    <sheet name="початковий" sheetId="7" r:id="rId1"/>
    <sheet name="зміни квітень" sheetId="8" r:id="rId2"/>
    <sheet name="зі змінами квітень" sheetId="10" r:id="rId3"/>
    <sheet name="зміни червень" sheetId="11" r:id="rId4"/>
  </sheets>
  <definedNames>
    <definedName name="_xlnm.Print_Titles" localSheetId="2">'зі змінами квітень'!$7:$9</definedName>
    <definedName name="_xlnm.Print_Titles" localSheetId="1">'зміни квітень'!$8:$10</definedName>
    <definedName name="_xlnm.Print_Titles" localSheetId="3">'зміни червень'!$8:$10</definedName>
    <definedName name="_xlnm.Print_Titles" localSheetId="0">початковий!$7:$9</definedName>
    <definedName name="_xlnm.Print_Area" localSheetId="2">'зі змінами квітень'!$A$1:$J$349</definedName>
    <definedName name="_xlnm.Print_Area" localSheetId="1">'зміни квітень'!$A$1:$J$211</definedName>
    <definedName name="_xlnm.Print_Area" localSheetId="3">'зміни червень'!$A$1:$J$155</definedName>
    <definedName name="_xlnm.Print_Area" localSheetId="0">початковий!$A$1:$J$205</definedName>
  </definedNames>
  <calcPr calcId="125725"/>
</workbook>
</file>

<file path=xl/calcChain.xml><?xml version="1.0" encoding="utf-8"?>
<calcChain xmlns="http://schemas.openxmlformats.org/spreadsheetml/2006/main">
  <c r="H53" i="11"/>
  <c r="J53"/>
  <c r="G53"/>
  <c r="H137"/>
  <c r="H139"/>
  <c r="H20"/>
  <c r="J20"/>
  <c r="G20"/>
  <c r="J25"/>
  <c r="J23"/>
  <c r="H23"/>
  <c r="G23"/>
  <c r="H123"/>
  <c r="J123"/>
  <c r="G123"/>
  <c r="H146"/>
  <c r="J146"/>
  <c r="G146"/>
  <c r="H33"/>
  <c r="J33"/>
  <c r="G33"/>
  <c r="G91"/>
  <c r="G70"/>
  <c r="H82" l="1"/>
  <c r="G82"/>
  <c r="H73"/>
  <c r="G73"/>
  <c r="H59"/>
  <c r="G59"/>
  <c r="H60"/>
  <c r="G60"/>
  <c r="H57"/>
  <c r="G57"/>
  <c r="H55"/>
  <c r="G55"/>
  <c r="G139"/>
  <c r="H149" l="1"/>
  <c r="J149"/>
  <c r="G149"/>
  <c r="J125"/>
  <c r="H125"/>
  <c r="G126"/>
  <c r="H26"/>
  <c r="J26"/>
  <c r="G26"/>
  <c r="I31"/>
  <c r="J17" l="1"/>
  <c r="H17"/>
  <c r="H12" s="1"/>
  <c r="G17"/>
  <c r="J18"/>
  <c r="H18"/>
  <c r="G18"/>
  <c r="H142"/>
  <c r="J142"/>
  <c r="G142"/>
  <c r="N11"/>
  <c r="M11"/>
  <c r="M12" s="1"/>
  <c r="L11"/>
  <c r="K11"/>
  <c r="H91"/>
  <c r="H70" s="1"/>
  <c r="J91"/>
  <c r="G12" l="1"/>
  <c r="G11" s="1"/>
  <c r="K12" s="1"/>
  <c r="J12"/>
  <c r="J11" s="1"/>
  <c r="H11"/>
  <c r="L12" s="1"/>
  <c r="G109"/>
  <c r="G108"/>
  <c r="H140"/>
  <c r="J140"/>
  <c r="G140"/>
  <c r="J135" l="1"/>
  <c r="H135"/>
  <c r="G137"/>
  <c r="G135" s="1"/>
  <c r="H131" l="1"/>
  <c r="J131"/>
  <c r="G131"/>
  <c r="J124"/>
  <c r="H124"/>
  <c r="H121" l="1"/>
  <c r="H67"/>
  <c r="H31" s="1"/>
  <c r="J67"/>
  <c r="J31" s="1"/>
  <c r="G67"/>
  <c r="G31" s="1"/>
  <c r="J147"/>
  <c r="H147"/>
  <c r="G147"/>
  <c r="J134"/>
  <c r="H134"/>
  <c r="J130"/>
  <c r="H130"/>
  <c r="G130"/>
  <c r="G121"/>
  <c r="J121"/>
  <c r="H25"/>
  <c r="G25"/>
  <c r="H19"/>
  <c r="J19"/>
  <c r="G19"/>
  <c r="J199" i="10"/>
  <c r="H199"/>
  <c r="G199"/>
  <c r="G11"/>
  <c r="K237"/>
  <c r="K238" s="1"/>
  <c r="K216"/>
  <c r="K215"/>
  <c r="K207"/>
  <c r="K208" s="1"/>
  <c r="K138"/>
  <c r="K121"/>
  <c r="K120"/>
  <c r="K51"/>
  <c r="K50"/>
  <c r="K47"/>
  <c r="K18"/>
  <c r="K17"/>
  <c r="K10"/>
  <c r="J215"/>
  <c r="M309"/>
  <c r="N309"/>
  <c r="M308"/>
  <c r="N308"/>
  <c r="M281"/>
  <c r="M282" s="1"/>
  <c r="M51"/>
  <c r="N51"/>
  <c r="M50"/>
  <c r="N50"/>
  <c r="M47"/>
  <c r="M48" s="1"/>
  <c r="N47"/>
  <c r="O47"/>
  <c r="M18"/>
  <c r="N18"/>
  <c r="M17"/>
  <c r="N17"/>
  <c r="M11"/>
  <c r="M10"/>
  <c r="N10"/>
  <c r="L138"/>
  <c r="G120" i="11" l="1"/>
  <c r="H30"/>
  <c r="H120"/>
  <c r="G30"/>
  <c r="J30"/>
  <c r="J120"/>
  <c r="H138" i="10"/>
  <c r="J138"/>
  <c r="J48" s="1"/>
  <c r="G138"/>
  <c r="H148"/>
  <c r="J148"/>
  <c r="G148"/>
  <c r="J203"/>
  <c r="H203"/>
  <c r="G203"/>
  <c r="H142"/>
  <c r="J142"/>
  <c r="G142"/>
  <c r="J139"/>
  <c r="H139"/>
  <c r="G139"/>
  <c r="J156"/>
  <c r="H156"/>
  <c r="G156"/>
  <c r="J177"/>
  <c r="H177"/>
  <c r="G177"/>
  <c r="H151" i="11" l="1"/>
  <c r="J151"/>
  <c r="L139" i="10"/>
  <c r="H48"/>
  <c r="G48"/>
  <c r="K139"/>
  <c r="G309"/>
  <c r="L308"/>
  <c r="G347"/>
  <c r="J347"/>
  <c r="H347"/>
  <c r="J340"/>
  <c r="H340"/>
  <c r="G340"/>
  <c r="J339"/>
  <c r="H339"/>
  <c r="G339"/>
  <c r="J338"/>
  <c r="H338"/>
  <c r="G338"/>
  <c r="J336"/>
  <c r="H336"/>
  <c r="G336"/>
  <c r="J331"/>
  <c r="H331"/>
  <c r="G331"/>
  <c r="J330"/>
  <c r="H330"/>
  <c r="G330"/>
  <c r="J329"/>
  <c r="H329"/>
  <c r="G329"/>
  <c r="J328"/>
  <c r="H328"/>
  <c r="G328"/>
  <c r="J325"/>
  <c r="H325"/>
  <c r="H316"/>
  <c r="H309" s="1"/>
  <c r="J316"/>
  <c r="J309" s="1"/>
  <c r="G316"/>
  <c r="J319"/>
  <c r="J315"/>
  <c r="H315"/>
  <c r="G315"/>
  <c r="H311"/>
  <c r="G311"/>
  <c r="H313"/>
  <c r="G313"/>
  <c r="J311"/>
  <c r="J298"/>
  <c r="H298"/>
  <c r="L281"/>
  <c r="H286"/>
  <c r="H288"/>
  <c r="J283"/>
  <c r="H283"/>
  <c r="L237"/>
  <c r="J246"/>
  <c r="H246"/>
  <c r="G246"/>
  <c r="J243"/>
  <c r="H243"/>
  <c r="G243"/>
  <c r="J258" l="1"/>
  <c r="J238" s="1"/>
  <c r="J237" s="1"/>
  <c r="H258"/>
  <c r="H238" s="1"/>
  <c r="H237" s="1"/>
  <c r="L238" s="1"/>
  <c r="G258"/>
  <c r="G238" s="1"/>
  <c r="G237" s="1"/>
  <c r="J216"/>
  <c r="H216"/>
  <c r="H215" s="1"/>
  <c r="G216"/>
  <c r="G215" s="1"/>
  <c r="L215"/>
  <c r="L207"/>
  <c r="J207"/>
  <c r="H207"/>
  <c r="G207"/>
  <c r="J137"/>
  <c r="H137"/>
  <c r="G137"/>
  <c r="L120"/>
  <c r="H120"/>
  <c r="J120"/>
  <c r="G120"/>
  <c r="J111"/>
  <c r="J110" s="1"/>
  <c r="H111"/>
  <c r="H110" s="1"/>
  <c r="G111"/>
  <c r="G110" s="1"/>
  <c r="J103"/>
  <c r="L50"/>
  <c r="J83"/>
  <c r="H83"/>
  <c r="H51" s="1"/>
  <c r="G83"/>
  <c r="J90"/>
  <c r="H90"/>
  <c r="G90"/>
  <c r="G51" s="1"/>
  <c r="J79"/>
  <c r="H79"/>
  <c r="G79"/>
  <c r="L47"/>
  <c r="J21"/>
  <c r="H19" i="8"/>
  <c r="H21" i="10"/>
  <c r="G21"/>
  <c r="J23"/>
  <c r="H23"/>
  <c r="G23"/>
  <c r="J29"/>
  <c r="H29"/>
  <c r="G29"/>
  <c r="J19"/>
  <c r="H19"/>
  <c r="G19"/>
  <c r="L17"/>
  <c r="J15"/>
  <c r="H15"/>
  <c r="G15"/>
  <c r="J14"/>
  <c r="H14"/>
  <c r="G14"/>
  <c r="J13"/>
  <c r="H13"/>
  <c r="G13"/>
  <c r="L10"/>
  <c r="I344"/>
  <c r="J342"/>
  <c r="J341" s="1"/>
  <c r="I342"/>
  <c r="I341" s="1"/>
  <c r="H342"/>
  <c r="H341" s="1"/>
  <c r="J337"/>
  <c r="H337"/>
  <c r="G337"/>
  <c r="J333"/>
  <c r="J332" s="1"/>
  <c r="H333"/>
  <c r="H332" s="1"/>
  <c r="G333"/>
  <c r="G332" s="1"/>
  <c r="J327"/>
  <c r="H327"/>
  <c r="G327"/>
  <c r="J324"/>
  <c r="H324"/>
  <c r="G324"/>
  <c r="J314"/>
  <c r="H314"/>
  <c r="G314"/>
  <c r="J301"/>
  <c r="J300" s="1"/>
  <c r="J299" s="1"/>
  <c r="H301"/>
  <c r="H300" s="1"/>
  <c r="H299" s="1"/>
  <c r="G301"/>
  <c r="G300" s="1"/>
  <c r="G299" s="1"/>
  <c r="H293"/>
  <c r="G288"/>
  <c r="G284"/>
  <c r="J282"/>
  <c r="H282"/>
  <c r="J186"/>
  <c r="H186"/>
  <c r="G186"/>
  <c r="J105"/>
  <c r="G105"/>
  <c r="J49"/>
  <c r="H49"/>
  <c r="G49"/>
  <c r="J45"/>
  <c r="J44" s="1"/>
  <c r="H45"/>
  <c r="H44" s="1"/>
  <c r="G45"/>
  <c r="G44" s="1"/>
  <c r="J43"/>
  <c r="J39" s="1"/>
  <c r="J38" s="1"/>
  <c r="H43"/>
  <c r="H39" s="1"/>
  <c r="H38" s="1"/>
  <c r="G39"/>
  <c r="G38" s="1"/>
  <c r="J35"/>
  <c r="J34" s="1"/>
  <c r="H35"/>
  <c r="H34" s="1"/>
  <c r="G35"/>
  <c r="G34" s="1"/>
  <c r="J12"/>
  <c r="H12"/>
  <c r="G12"/>
  <c r="H17" i="8"/>
  <c r="J17"/>
  <c r="G17"/>
  <c r="H174"/>
  <c r="H137"/>
  <c r="J137"/>
  <c r="G137"/>
  <c r="G136" s="1"/>
  <c r="J51" i="10" l="1"/>
  <c r="J50" s="1"/>
  <c r="L208"/>
  <c r="G281"/>
  <c r="L121"/>
  <c r="H50"/>
  <c r="L216"/>
  <c r="G50"/>
  <c r="G18"/>
  <c r="G17" s="1"/>
  <c r="H11"/>
  <c r="H10" s="1"/>
  <c r="L11" s="1"/>
  <c r="J281"/>
  <c r="J278" s="1"/>
  <c r="G278"/>
  <c r="G277" s="1"/>
  <c r="J18"/>
  <c r="J17" s="1"/>
  <c r="H18"/>
  <c r="H17" s="1"/>
  <c r="L18" s="1"/>
  <c r="G308"/>
  <c r="G10"/>
  <c r="K11" s="1"/>
  <c r="J326"/>
  <c r="J323" s="1"/>
  <c r="H281"/>
  <c r="H278" s="1"/>
  <c r="H326"/>
  <c r="H323" s="1"/>
  <c r="J308"/>
  <c r="H308"/>
  <c r="L309" s="1"/>
  <c r="J11"/>
  <c r="J10" s="1"/>
  <c r="G326"/>
  <c r="G323" s="1"/>
  <c r="G52" i="8"/>
  <c r="J38"/>
  <c r="H38"/>
  <c r="H33" s="1"/>
  <c r="H32" s="1"/>
  <c r="G38"/>
  <c r="J194"/>
  <c r="H194"/>
  <c r="J72"/>
  <c r="J19"/>
  <c r="G19"/>
  <c r="J277" i="10" l="1"/>
  <c r="N282"/>
  <c r="J47"/>
  <c r="H277"/>
  <c r="L282"/>
  <c r="H47"/>
  <c r="L48" s="1"/>
  <c r="L51"/>
  <c r="G47"/>
  <c r="J33" i="8"/>
  <c r="J32" s="1"/>
  <c r="G33"/>
  <c r="G32" s="1"/>
  <c r="J171"/>
  <c r="J170" s="1"/>
  <c r="H171"/>
  <c r="H170" s="1"/>
  <c r="H193"/>
  <c r="J193"/>
  <c r="G193"/>
  <c r="J202"/>
  <c r="H202"/>
  <c r="G202"/>
  <c r="J130"/>
  <c r="H130"/>
  <c r="H129" s="1"/>
  <c r="G344" i="10" l="1"/>
  <c r="G348" s="1"/>
  <c r="K48"/>
  <c r="J344"/>
  <c r="J348" s="1"/>
  <c r="N48"/>
  <c r="H344"/>
  <c r="H348" s="1"/>
  <c r="J196" i="8"/>
  <c r="J195" s="1"/>
  <c r="H196"/>
  <c r="H195" s="1"/>
  <c r="G196"/>
  <c r="G195" s="1"/>
  <c r="G192" s="1"/>
  <c r="H74"/>
  <c r="H73" s="1"/>
  <c r="J74"/>
  <c r="J73" s="1"/>
  <c r="G74"/>
  <c r="G73" s="1"/>
  <c r="J124"/>
  <c r="H124"/>
  <c r="J13" l="1"/>
  <c r="H13"/>
  <c r="G13"/>
  <c r="I209"/>
  <c r="J207"/>
  <c r="J206" s="1"/>
  <c r="J192" s="1"/>
  <c r="I207"/>
  <c r="I206" s="1"/>
  <c r="H207"/>
  <c r="H206" s="1"/>
  <c r="H192" s="1"/>
  <c r="J183"/>
  <c r="H183"/>
  <c r="G183"/>
  <c r="J129"/>
  <c r="G170" l="1"/>
  <c r="J188"/>
  <c r="J119" l="1"/>
  <c r="J82" s="1"/>
  <c r="H119"/>
  <c r="H82" s="1"/>
  <c r="G119"/>
  <c r="G82" s="1"/>
  <c r="H136"/>
  <c r="J136"/>
  <c r="H182"/>
  <c r="G182"/>
  <c r="I203" i="7"/>
  <c r="J201"/>
  <c r="J200" s="1"/>
  <c r="I201"/>
  <c r="I200" s="1"/>
  <c r="H201"/>
  <c r="H200" s="1"/>
  <c r="J196"/>
  <c r="H196"/>
  <c r="G196"/>
  <c r="J192"/>
  <c r="J191" s="1"/>
  <c r="H192"/>
  <c r="H191" s="1"/>
  <c r="G192"/>
  <c r="G191" s="1"/>
  <c r="J186"/>
  <c r="H186"/>
  <c r="G186"/>
  <c r="J184"/>
  <c r="J183" s="1"/>
  <c r="H184"/>
  <c r="H183" s="1"/>
  <c r="G183"/>
  <c r="J180"/>
  <c r="H180"/>
  <c r="G180"/>
  <c r="J177"/>
  <c r="H177"/>
  <c r="G177"/>
  <c r="J167"/>
  <c r="J166" s="1"/>
  <c r="J165" s="1"/>
  <c r="H167"/>
  <c r="H166" s="1"/>
  <c r="H165" s="1"/>
  <c r="G167"/>
  <c r="G166" s="1"/>
  <c r="G165" s="1"/>
  <c r="H160"/>
  <c r="H158"/>
  <c r="G158"/>
  <c r="G152" s="1"/>
  <c r="G149" s="1"/>
  <c r="G148" s="1"/>
  <c r="H157"/>
  <c r="G155"/>
  <c r="J154"/>
  <c r="H154"/>
  <c r="J153"/>
  <c r="J152" s="1"/>
  <c r="J149" s="1"/>
  <c r="J148" s="1"/>
  <c r="H153"/>
  <c r="J136"/>
  <c r="H136"/>
  <c r="G136"/>
  <c r="J120"/>
  <c r="J119" s="1"/>
  <c r="H120"/>
  <c r="H119" s="1"/>
  <c r="G120"/>
  <c r="G119" s="1"/>
  <c r="J115"/>
  <c r="H115"/>
  <c r="G115"/>
  <c r="J105"/>
  <c r="H105"/>
  <c r="G105"/>
  <c r="J91"/>
  <c r="H91"/>
  <c r="G91"/>
  <c r="J86"/>
  <c r="H86"/>
  <c r="G86"/>
  <c r="J59"/>
  <c r="G59"/>
  <c r="J42"/>
  <c r="J41" s="1"/>
  <c r="H42"/>
  <c r="H41" s="1"/>
  <c r="G42"/>
  <c r="G41" s="1"/>
  <c r="J40"/>
  <c r="H40"/>
  <c r="G40"/>
  <c r="J36"/>
  <c r="J35" s="1"/>
  <c r="H36"/>
  <c r="H35" s="1"/>
  <c r="G36"/>
  <c r="G35" s="1"/>
  <c r="J34"/>
  <c r="J30" s="1"/>
  <c r="J29" s="1"/>
  <c r="H34"/>
  <c r="H30" s="1"/>
  <c r="H29" s="1"/>
  <c r="G30"/>
  <c r="G29" s="1"/>
  <c r="J26"/>
  <c r="J25" s="1"/>
  <c r="H26"/>
  <c r="H25" s="1"/>
  <c r="G26"/>
  <c r="G25" s="1"/>
  <c r="J20"/>
  <c r="H20"/>
  <c r="G20"/>
  <c r="J19"/>
  <c r="H19"/>
  <c r="G19"/>
  <c r="J13"/>
  <c r="H13"/>
  <c r="G13"/>
  <c r="J12"/>
  <c r="H12"/>
  <c r="G12"/>
  <c r="G11" l="1"/>
  <c r="G10" s="1"/>
  <c r="J18"/>
  <c r="J17" s="1"/>
  <c r="G18"/>
  <c r="G17" s="1"/>
  <c r="J84"/>
  <c r="J39" s="1"/>
  <c r="J38" s="1"/>
  <c r="J11"/>
  <c r="J10" s="1"/>
  <c r="H175"/>
  <c r="H174" s="1"/>
  <c r="G84"/>
  <c r="G39" s="1"/>
  <c r="G38" s="1"/>
  <c r="G175"/>
  <c r="G174" s="1"/>
  <c r="H84"/>
  <c r="H39" s="1"/>
  <c r="H38" s="1"/>
  <c r="H11"/>
  <c r="H10" s="1"/>
  <c r="H18"/>
  <c r="H17" s="1"/>
  <c r="H152"/>
  <c r="H149" s="1"/>
  <c r="H148" s="1"/>
  <c r="J185"/>
  <c r="J182" s="1"/>
  <c r="J175"/>
  <c r="J174" s="1"/>
  <c r="H185"/>
  <c r="H182" s="1"/>
  <c r="G185"/>
  <c r="G182" s="1"/>
  <c r="J203" l="1"/>
  <c r="G203"/>
  <c r="H203"/>
  <c r="J185" i="8"/>
  <c r="H185"/>
  <c r="H181" s="1"/>
  <c r="G185"/>
  <c r="G181" s="1"/>
  <c r="J169"/>
  <c r="J168" s="1"/>
  <c r="H169"/>
  <c r="H168" s="1"/>
  <c r="G169"/>
  <c r="G168" s="1"/>
  <c r="G124"/>
  <c r="H31"/>
  <c r="J31"/>
  <c r="J16"/>
  <c r="H16"/>
  <c r="G16"/>
  <c r="J12"/>
  <c r="J11" s="1"/>
  <c r="H12"/>
  <c r="H11" s="1"/>
  <c r="G12"/>
  <c r="G11" s="1"/>
  <c r="G31" l="1"/>
  <c r="G30" s="1"/>
  <c r="J181"/>
  <c r="J180" s="1"/>
  <c r="H30"/>
  <c r="J30"/>
  <c r="G180"/>
  <c r="H180"/>
  <c r="H209" l="1"/>
  <c r="G209"/>
  <c r="J209"/>
  <c r="G134" i="11" l="1"/>
  <c r="G151" s="1"/>
</calcChain>
</file>

<file path=xl/sharedStrings.xml><?xml version="1.0" encoding="utf-8"?>
<sst xmlns="http://schemas.openxmlformats.org/spreadsheetml/2006/main" count="2295" uniqueCount="545">
  <si>
    <t>ВСЬОГО</t>
  </si>
  <si>
    <t>капітальні видатки за рахунок коштів, що передаються із загального фонду до бюджету розвитку (спеціального фонду)</t>
  </si>
  <si>
    <t>з них</t>
  </si>
  <si>
    <t>Капітальні видатки</t>
  </si>
  <si>
    <t>1500000</t>
  </si>
  <si>
    <t>1510000</t>
  </si>
  <si>
    <t>Відділ комунального господарства та благоустрою Чорноморської міської ради Одеської області</t>
  </si>
  <si>
    <t>0610</t>
  </si>
  <si>
    <t>0620</t>
  </si>
  <si>
    <t>Управління капітального будівництва Чорноморської міської ради Одеської області</t>
  </si>
  <si>
    <t>0490</t>
  </si>
  <si>
    <t>0456</t>
  </si>
  <si>
    <t>0470</t>
  </si>
  <si>
    <t>Заходи з енергозбереження</t>
  </si>
  <si>
    <t>Відділ освіти Чорноморської  міської ради Одеської області</t>
  </si>
  <si>
    <t>1010</t>
  </si>
  <si>
    <t>0910</t>
  </si>
  <si>
    <t>1020</t>
  </si>
  <si>
    <t>0921</t>
  </si>
  <si>
    <t>Надання загальної середньої освіти загальноосвітніми навчальними закладами ( в т.ч. школою-дитячим садком, інтернатом при школі), спеціалізованими школами, ліцеями, гімназіями, колегіумами</t>
  </si>
  <si>
    <t>0200000</t>
  </si>
  <si>
    <t>0210000</t>
  </si>
  <si>
    <t>0216030</t>
  </si>
  <si>
    <t>6030</t>
  </si>
  <si>
    <t>Організація благоустрою населених пунктів</t>
  </si>
  <si>
    <t>0600000</t>
  </si>
  <si>
    <t>0610000</t>
  </si>
  <si>
    <t>0611010</t>
  </si>
  <si>
    <t>Надання дошкільної освіти</t>
  </si>
  <si>
    <t>0611020</t>
  </si>
  <si>
    <t>1200000</t>
  </si>
  <si>
    <t>1210000</t>
  </si>
  <si>
    <t>7130</t>
  </si>
  <si>
    <t>0421</t>
  </si>
  <si>
    <t>Здійснення заходів із землеустрою</t>
  </si>
  <si>
    <t>Реалізація інших заходів щодо соціально-економічного розвитку територій</t>
  </si>
  <si>
    <t>6011</t>
  </si>
  <si>
    <t>1216011</t>
  </si>
  <si>
    <t>Експлуатація та технічне обслуговування житлового фонду</t>
  </si>
  <si>
    <t>6012</t>
  </si>
  <si>
    <t>1216012</t>
  </si>
  <si>
    <t>Забезпечення діяльності з виробництва, транспортування, постачання теплової енергії</t>
  </si>
  <si>
    <t>7640</t>
  </si>
  <si>
    <t>1217640</t>
  </si>
  <si>
    <t>7461</t>
  </si>
  <si>
    <t>1217461</t>
  </si>
  <si>
    <t>Утримання та розвиток автомобільних доріг та дорожньої інфраструктури за рахунок коштів місцевого бюджету</t>
  </si>
  <si>
    <t>3700000</t>
  </si>
  <si>
    <t>Фінансове управління   Чорноморської міської ради Одеської області</t>
  </si>
  <si>
    <t>0180</t>
  </si>
  <si>
    <t>1216030</t>
  </si>
  <si>
    <t>3710000</t>
  </si>
  <si>
    <t>7370</t>
  </si>
  <si>
    <t>1217370</t>
  </si>
  <si>
    <t>1517370</t>
  </si>
  <si>
    <t>Капітальні видатки разом, в т.ч. :</t>
  </si>
  <si>
    <t>Інша діяльність, пов'язана з експлуатацією об'єктів житлово - комунального господарства</t>
  </si>
  <si>
    <t>6017</t>
  </si>
  <si>
    <t>1216017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</si>
  <si>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</si>
  <si>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</si>
  <si>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</si>
  <si>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</si>
  <si>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Найменування об'єкта відповідно до проектно-кошторисної  документації</t>
  </si>
  <si>
    <t>Строк реалізації об'єкта (рік початку і завершення)</t>
  </si>
  <si>
    <t>Загальна вартість об'єкта, гривень</t>
  </si>
  <si>
    <t>Обсяг видатків бюджету розвитку, гривень</t>
  </si>
  <si>
    <t>Рівень будівельної готовності об'єкта на кінець бюджетного періоду, %</t>
  </si>
  <si>
    <t>2019-2019</t>
  </si>
  <si>
    <t xml:space="preserve">Будівництво об'єкту "Мостовий перехід через Сухий Лиман з підходами в с. Малодолинське на автомобільній дорозі "Одеса-Чорноморськ" </t>
  </si>
  <si>
    <t>Одеської області</t>
  </si>
  <si>
    <t>2016-2019</t>
  </si>
  <si>
    <t>Капітальний ремонт приміщення за адресою м.Чорноморськ, вул.Шевченка, 10</t>
  </si>
  <si>
    <t>Організація благоустрою населених пунктів, зокрема :</t>
  </si>
  <si>
    <t>Капітальний ремонт житлового фонду, який знаходиться на обслуговуванні у комунального підприємства "МУЖКГ" Чорноморської міської ради Одеської області разом, в т.ч. :</t>
  </si>
  <si>
    <t>м.Чорноморськ, вул.Олександрійська, 13</t>
  </si>
  <si>
    <t>Виконавчий комітет Чорноморської міської ради Одеської області</t>
  </si>
  <si>
    <t>Капітальний ремонт (заміна вікон) у під`їздах та міжповерхових клітинах  багатоповерхових житлових будинків разом, в т.ч. за адресами :</t>
  </si>
  <si>
    <t>Відновлення елементів благоустрою - капітальний ремонт озеленення по вул.Корабельній (закінчення)</t>
  </si>
  <si>
    <t>м.Чорноморськ, вул.1 Травня, 5 (2п.)</t>
  </si>
  <si>
    <t>м.Чорноморськ, вул.1 Травня, 15-а (3п.)</t>
  </si>
  <si>
    <t>грн.</t>
  </si>
  <si>
    <t>Придбання та облаштування спортивного майданчику в сел.Олександрівка</t>
  </si>
  <si>
    <t>Проектування улаштування дренажної системи в житловому будинку за адресою м.Чорноморськ, вул.Олександрійська, 4а</t>
  </si>
  <si>
    <t>Капітальний ремонт вимощення житлового будинку по проспекту Мира, 18-А</t>
  </si>
  <si>
    <t>Капітальний ремонт мереж електропостачання житлового будинку за адресою м.Чорноморськ, вул.Данченка, 1-А</t>
  </si>
  <si>
    <t>Капітальний ремонт мереж електропостачання житлового будинку за адресою м.Чорноморськ, вул.Данченка, 5-А</t>
  </si>
  <si>
    <t>Капітальний ремонт мереж електропостачання житлового будинку за адресою м.Чорноморськ, вул.Данченка, 7</t>
  </si>
  <si>
    <t>Капітальний ремонт мереж електропостачання житлового будинку за адресою м.Чорноморськ, пр.Миру, 18-А</t>
  </si>
  <si>
    <t>Капітальний ремонт мереж електропостачання житлового будинку за адресою м.Чорноморськ, пр.Миру, 27</t>
  </si>
  <si>
    <t>Капітальний ремонт мереж електропостачання житлового будинку за адресою м.Чорноморськ, вул.Парусна, 10</t>
  </si>
  <si>
    <r>
      <t xml:space="preserve">Капітальний ремонт житлового фонду (ремонт вхідних груп у 5-х парадних житлового багатоквартирного будинку) по вул.Парусна, буд.12, у м.Чорноморську Одеської області </t>
    </r>
    <r>
      <rPr>
        <b/>
        <i/>
        <sz val="14"/>
        <color theme="1"/>
        <rFont val="Times New Roman"/>
        <family val="1"/>
        <charset val="204"/>
      </rPr>
      <t>(співфінансування)</t>
    </r>
  </si>
  <si>
    <r>
      <t xml:space="preserve">Капітальний ремонт житлового фонду (ремонт вхідних груп у 4-х парадних житлового багатоповерхового будинку) по вул.Парусна, буд.3 у м.Чорноморську Одеської області </t>
    </r>
    <r>
      <rPr>
        <b/>
        <i/>
        <sz val="14"/>
        <color theme="1"/>
        <rFont val="Times New Roman"/>
        <family val="1"/>
        <charset val="204"/>
      </rPr>
      <t>(співфінансування)</t>
    </r>
  </si>
  <si>
    <r>
      <t xml:space="preserve">Капітальний ремонт житлового фонду (ремонт вхідних груп у 6-ти парадних із заміною дверей у 3-х парадних житлового багатоквартирного будинку) по вул.Паркова, буд.8-А, у м.Чорноморську Одеської області </t>
    </r>
    <r>
      <rPr>
        <b/>
        <i/>
        <sz val="14"/>
        <color theme="1"/>
        <rFont val="Times New Roman"/>
        <family val="1"/>
        <charset val="204"/>
      </rPr>
      <t>(співфінансування)</t>
    </r>
  </si>
  <si>
    <t>Капітальний ремонт елеваторних вузлів житлових будинків з регуліровкою систем центрального опалення за адресами: пр-т Миру, 41, вул.Лазурна, 3, вул.1 Травня, 15-А, вул.В.Шума, 13-А</t>
  </si>
  <si>
    <t>Відновлення елементів благоустрою - капітальний ремонт прибудинкової території з улаштуванням дитячого майданчика за адресою: м.Чорноморськ, вул.Парусна, 17</t>
  </si>
  <si>
    <t>Капітальний ремонт благоустрою території по вул.Лазурна, 1-3-5</t>
  </si>
  <si>
    <t>Капітальний ремонт благоустрою території по вул.Спортивна, 6-8, 10</t>
  </si>
  <si>
    <t>Відновлення елементів благоустрою - улаштування спортивного майданчику для людей з особливими потребами за адресою м.Чорноморськ, вул.Парусна, 10</t>
  </si>
  <si>
    <t>Проектування будівництва очисних споруд зливових вод в м.Чорноморськ</t>
  </si>
  <si>
    <t>Проектування благоустрою території прибережної зони біля ФНС</t>
  </si>
  <si>
    <t>1217130</t>
  </si>
  <si>
    <t>Виконання робочого проекту "Будівництво колектора зливової каналізації довжиною 900 м по вул.Шевченка, Данченка, Олександрійській м.Чорноморськ Одеської області"</t>
  </si>
  <si>
    <t>Будівництво колектора зливової каналізації довжиною 925 м від  вул. Данченка до вул. 1-го Травня</t>
  </si>
  <si>
    <t xml:space="preserve">Проектування та експертиза будівництва міського туалету в Приморському парку в районі "Екстрім-парку" </t>
  </si>
  <si>
    <t>1217462</t>
  </si>
  <si>
    <t>7462</t>
  </si>
  <si>
    <t>Утримання та розвиток автомобільних доріг та дорожньої інфраструктури за рахунок субвенції з державного бюджету</t>
  </si>
  <si>
    <t xml:space="preserve">м.Чорноморськ, вул.Данченка, 16, пр-т Миру, 4а </t>
  </si>
  <si>
    <t>м.Чорноморськ, вул.Парусна, 2</t>
  </si>
  <si>
    <t>м.Чорноморськ, вул.Спортивна, 12-А</t>
  </si>
  <si>
    <t>м.Чорноморськ, вул.1 Травня, б.4 (4, 5, 6п.)</t>
  </si>
  <si>
    <t>3719800</t>
  </si>
  <si>
    <t>9800</t>
  </si>
  <si>
    <t>Субвенція з місцевого бюджету державному бюджету на виконання програм соціально - економічного розвитку регіонів</t>
  </si>
  <si>
    <t xml:space="preserve">Міська програма протидії  злочинності  та  посилення  громадської  безпеки  на  території   Чорноморської міської ради Одеської області на  2019 – 2022  роки </t>
  </si>
  <si>
    <t>Міська програма зміцнення законності, безпеки та порядку на території  м. Чорноморська «Безпечне місто Чорноморськ» на 2018 - 2019 роки</t>
  </si>
  <si>
    <t>Міська цільова соціальна програма розвитку цивільного захисту на 2016 – 2020 роки</t>
  </si>
  <si>
    <t>Міська програма підтримки і розвитку навчально-матеріальної бази та соціального захисту студентів  Чорноморського  морського  коледжу  Одеського  національного морського університету на 2019 рік</t>
  </si>
  <si>
    <t>Міська цільова програма підтримки відділу прикордонної служби "Чорноморськ" Одеського прикордонного загону Південного регіонального управління Державної прикордонної служби України</t>
  </si>
  <si>
    <t>Міська програма удосконалення казначейського обслуговування міського бюджету м. Чорноморська та забезпечення обслуговування розпорядників та одержувачів бюджетних коштів Управлінням Державної казначейської служби України у м. Чорноморську Одеської області на 2019 рік</t>
  </si>
  <si>
    <t>Зміни та доповнення до переліку об'єктів, видатки  на  які  у  2019 році  будуть  проводитися за  рахунок  коштів  бюджету  розвитку</t>
  </si>
  <si>
    <t>Капітальний ремонт дитячого майданчику за адресою: м.Чорноморськ, сквер Олександрійський</t>
  </si>
  <si>
    <t>Відновлення елементів благоустрою з улаштуванням елементів дитячого майданчика за адресою: м.Чорноморськ, сквер Олександрійський</t>
  </si>
  <si>
    <t>Відновлення елементів благоустрою - капітальний ремонт благоустрою по вул.Корабельній</t>
  </si>
  <si>
    <t>Відновлення елементів благоустрою - капітальний ремонт прибудинкової території з улаштуванням спортивного майданчику за адресою м.Чорноморськ, вул.Олександрійська, 17 - вул.Спортивна, 14, 12-а</t>
  </si>
  <si>
    <t>0212100</t>
  </si>
  <si>
    <t>2100</t>
  </si>
  <si>
    <t>0722</t>
  </si>
  <si>
    <t>Стоматологічна допомога населенню</t>
  </si>
  <si>
    <t>0212010</t>
  </si>
  <si>
    <t>2010</t>
  </si>
  <si>
    <t>0731</t>
  </si>
  <si>
    <t>Багатопрофільна стаціонарна медична допомога населенню</t>
  </si>
  <si>
    <t>Капітальний ремонт фасаду та покрівлі багатоквартирного житлового будинку за адресою: м. Чорноморськ, проспект Миру, 1</t>
  </si>
  <si>
    <t xml:space="preserve">до рішення Чорноморської  міської ради </t>
  </si>
  <si>
    <t>Додаток 7</t>
  </si>
  <si>
    <t xml:space="preserve">від  25.01.2019  р.  №   382 - VII </t>
  </si>
  <si>
    <t>Розподіл коштів бюджету розвитку за об'єктами у 2019 році</t>
  </si>
  <si>
    <t>0210150</t>
  </si>
  <si>
    <t>0150</t>
  </si>
  <si>
    <t>0111</t>
  </si>
  <si>
    <t xml:space="preserve">Організаційне, інформатично-аналітичне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 </t>
  </si>
  <si>
    <t>0217693</t>
  </si>
  <si>
    <t>7693</t>
  </si>
  <si>
    <t>Інші заходи, пов'язані з економічною діяльністю</t>
  </si>
  <si>
    <t>Капітальні видатки разом</t>
  </si>
  <si>
    <t>зокрема:</t>
  </si>
  <si>
    <t>капітальні видатки по ЗОШ № 1</t>
  </si>
  <si>
    <t>0611070</t>
  </si>
  <si>
    <t>1070</t>
  </si>
  <si>
    <t>0922</t>
  </si>
  <si>
    <t>Надання загальної середньої освіти спеціальними загальноосвітніми школами-інтернатами, школами та іншими навчальними закладами для дітей, які потребують корекції фізичного та (або) розумового розвитку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</si>
  <si>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</si>
  <si>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</si>
  <si>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</si>
  <si>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шкіл</t>
  </si>
  <si>
    <t>0800000</t>
  </si>
  <si>
    <t>Управління соціальної політики Чорноморської міської ради Одеської області</t>
  </si>
  <si>
    <t>0810000</t>
  </si>
  <si>
    <t>0810160</t>
  </si>
  <si>
    <t>0160</t>
  </si>
  <si>
    <t>Керівництво і управління у відповідній сфері у містах (місті Києві), селищах, селах, об'єднаних територіальних громадах</t>
  </si>
  <si>
    <t>0813121</t>
  </si>
  <si>
    <t>3121</t>
  </si>
  <si>
    <t>1040</t>
  </si>
  <si>
    <t>Утримання та забезпечення діяльності центрів соціальних служб для сім'ї, дітей та молоді</t>
  </si>
  <si>
    <t>1000000</t>
  </si>
  <si>
    <t>Відділ культури  Чорноморської міської ради Одеської області</t>
  </si>
  <si>
    <t>1010000</t>
  </si>
  <si>
    <t>1014030</t>
  </si>
  <si>
    <t>4030</t>
  </si>
  <si>
    <t>0824</t>
  </si>
  <si>
    <t>Забезпечення діяльності бібліотек</t>
  </si>
  <si>
    <t>1014040</t>
  </si>
  <si>
    <t>4040</t>
  </si>
  <si>
    <t>Забезпечення діяльності музеїв і виставок</t>
  </si>
  <si>
    <t>1014060</t>
  </si>
  <si>
    <t>4060</t>
  </si>
  <si>
    <t>0828</t>
  </si>
  <si>
    <t>Забезпечення діяльності палаців і будинків культури, клубів, центрів дозвілля та інших клубних закладів</t>
  </si>
  <si>
    <t>1017370</t>
  </si>
  <si>
    <t>Реконструкція Олександрівського будинку культури</t>
  </si>
  <si>
    <t>1100000</t>
  </si>
  <si>
    <t>Відділ у справах сім'ї, молоді та спорту  Чорноморської міської ради Одеської області</t>
  </si>
  <si>
    <t>1110000</t>
  </si>
  <si>
    <t>1110160</t>
  </si>
  <si>
    <t>1210160</t>
  </si>
  <si>
    <t>капітальний ремонт покрівлі за адресою : м.Чорноморськ, вул.1 Травня, 11 (корпус А)</t>
  </si>
  <si>
    <t>капітальний ремонт багатоквартирного житлового будинку (відновлення вимощення) за адресою м.Чорноморськ, вул.1 Травня, 15-а</t>
  </si>
  <si>
    <t>капітальний ремонт багатоквартирного житлового будинку (відновлення вхідних груп) за адресою м.Чорноморськ, вул.Віталія Шума, 6-а</t>
  </si>
  <si>
    <t>капітальний ремонт багатоквартирного житлового будинку (відновлення вхідних груп) за адресою м.Чорноморськ, вул.Віталія Шума, 21</t>
  </si>
  <si>
    <t>капітальний ремонт мереж водопостачання, центрального опалення, каналізації за адресою: м.Чорноморськ, вул.Данченка, 8</t>
  </si>
  <si>
    <t>капітальний ремонт шиферної покрівлі за адресою: м.Чорноморськ, вул.Корабельна, 4</t>
  </si>
  <si>
    <t>капітальний ремонт шиферної покрівлі за адресою: м.Чорноморськ, вул.Корабельна, 12</t>
  </si>
  <si>
    <t>капітальний ремонт шиферної покрівлі за адресою: м.Чорноморськ, проспект Миру, 6</t>
  </si>
  <si>
    <t>капітальний ремонт покрівлі за адресою : м.Чорноморськ, вул.Олександрійська, 4-А/ 5,6п.</t>
  </si>
  <si>
    <t>капітальний ремонт покрівлі за адресою : м.Чорноморськ, вул.Олександрійська, 15</t>
  </si>
  <si>
    <t>капітальний ремонт покрівлі за адресою : м.Чорноморськ, вул.Олександрійська, 20</t>
  </si>
  <si>
    <t>капітальний ремонт покрівлі за адресою : м.Чорноморськ, вул.Паркова, 10</t>
  </si>
  <si>
    <t>капітальний ремонт покрівлі за адресою : м.Чорноморськ, вул.Паркова, 22</t>
  </si>
  <si>
    <t>капітальний ремонт цокольної частини фасаду, вимощення за адресою: м.Чорноморськ, вул.Спортивна, 3</t>
  </si>
  <si>
    <t>капітальний ремонт покрівлі за адресою : м.Чорноморськ, вул.Спортивна, 12</t>
  </si>
  <si>
    <t>Капітальний ремонт житлового фонду об'єднань співвласників багатоквартирних будинків відповідно доМіської програми сприяння діяльності об’єднань співвласників багатоквартирних будинків, житлово-будівельних кооперативів в багатоквартирних будинках на території Чорноморської міської ради Одеської області  на 2017-2019 роки, затвердженої рішенням  міської ради від 07.04.2017 р. № 220-VII</t>
  </si>
  <si>
    <t>Капітальнй ремонт зовнішніх теплових мереж, бойлерних всього, в т.ч.:</t>
  </si>
  <si>
    <r>
      <t>капітальний ремонт теплового вводу від камери СК в будівлю Чорноморського морського коледжу ОНМУ (вул.Праці, 15) Дн 133мм</t>
    </r>
    <r>
      <rPr>
        <b/>
        <i/>
        <sz val="14"/>
        <rFont val="Times New Roman"/>
        <family val="1"/>
        <charset val="204"/>
      </rPr>
      <t xml:space="preserve"> 54 м</t>
    </r>
    <r>
      <rPr>
        <i/>
        <sz val="14"/>
        <rFont val="Times New Roman"/>
        <family val="1"/>
        <charset val="204"/>
      </rPr>
      <t xml:space="preserve"> (в однотрубн. вимірі) в ППУ</t>
    </r>
  </si>
  <si>
    <r>
      <t xml:space="preserve">капітальний ремонт магістральної теплової мережі в прохідному каналі на ділянці від т.А (пр.Миру, 15) до т.В (пр.Миру, 17) Дн 219мм </t>
    </r>
    <r>
      <rPr>
        <b/>
        <i/>
        <sz val="14"/>
        <rFont val="Times New Roman"/>
        <family val="1"/>
        <charset val="204"/>
      </rPr>
      <t>210 м</t>
    </r>
    <r>
      <rPr>
        <i/>
        <sz val="14"/>
        <rFont val="Times New Roman"/>
        <family val="1"/>
        <charset val="204"/>
      </rPr>
      <t xml:space="preserve"> (в однотрубн. вимірі) в ППУ</t>
    </r>
  </si>
  <si>
    <r>
      <t xml:space="preserve">капітальний ремонт магістральної теплової мережі на ділянці від камери МК44 до насосної змішування 4-го кварталу (вул.Данченка, 4-В) Дн 159мм </t>
    </r>
    <r>
      <rPr>
        <b/>
        <i/>
        <sz val="14"/>
        <rFont val="Times New Roman"/>
        <family val="1"/>
        <charset val="204"/>
      </rPr>
      <t>90 м</t>
    </r>
    <r>
      <rPr>
        <i/>
        <sz val="14"/>
        <rFont val="Times New Roman"/>
        <family val="1"/>
        <charset val="204"/>
      </rPr>
      <t xml:space="preserve"> (в однотрубн. вимірі) в ППУ</t>
    </r>
  </si>
  <si>
    <r>
      <t xml:space="preserve">капітальний ремонт розподільчої теплової мережі на ділянці від камери ТК (вул.Торгова, 2-А) до камери К-2п (вул.Праці, 16) Дн 159мм </t>
    </r>
    <r>
      <rPr>
        <b/>
        <i/>
        <sz val="14"/>
        <rFont val="Times New Roman"/>
        <family val="1"/>
        <charset val="204"/>
      </rPr>
      <t xml:space="preserve">100 м </t>
    </r>
    <r>
      <rPr>
        <i/>
        <sz val="14"/>
        <rFont val="Times New Roman"/>
        <family val="1"/>
        <charset val="204"/>
      </rPr>
      <t>(в однотрубн. вимірі) в ППУ</t>
    </r>
  </si>
  <si>
    <t>1216013</t>
  </si>
  <si>
    <t>6013</t>
  </si>
  <si>
    <t>Забезпечення діяльності водопровідно-каналізаційного господарства</t>
  </si>
  <si>
    <t>Капітальний ремонт мереж водовідведення та водопостачання  разом, в т.ч.:</t>
  </si>
  <si>
    <t>реконструкція мереж водопроводу до насосної станції за адресою: м.Чорноморськ, вул.1 Травня, 18-В</t>
  </si>
  <si>
    <t>реконструкція мереж водопроводу із заміною труб по вул.Березовій с.Молодіжне Овідіопольського р-ну Одеської області (для обслуговування абонентів КП "Чорноморськводоканал")</t>
  </si>
  <si>
    <t>1216015</t>
  </si>
  <si>
    <t>6015</t>
  </si>
  <si>
    <t>Забезпечення надійної та безперебійної експлуатації ліфтів</t>
  </si>
  <si>
    <t>Капітальний ремонт ліфтів разом, в т.ч.:</t>
  </si>
  <si>
    <t>капітальний ремонт ліфту за адресою: м.Чорноморськ, вул.1 Травня, 5 (2п.)</t>
  </si>
  <si>
    <t>капітальний ремонт ліфту за адресою: м.Чорноморськ, вул.1 Травня, 8-А (1п.)</t>
  </si>
  <si>
    <t>капітальний ремонт по заміні ліфту за адресою: м.Чорноморськ, вул.1 Травня, 13 (4п.)</t>
  </si>
  <si>
    <t>капітальний ремонт по заміні ліфту за адресою: м.Чорноморськ, вул.Данченка, 3-Б (1 ГП, 1п.)</t>
  </si>
  <si>
    <t>капітальний ремонт ліфту за адресою: м.Чорноморськ, вул.В.Шума, 6-А (1, 2, 3п.)</t>
  </si>
  <si>
    <t>капітальний ремонт ліфту за адресою: м.Чорноморськ, вул.В.Шума, 17-А, (1, 2, 3п.)</t>
  </si>
  <si>
    <t>капітальний ремонт ліфту за адресою: м.Чорноморськ, вул.В.Шума, 21 (4, 5п.)</t>
  </si>
  <si>
    <t>капітальний ремонт по заміні ліфту за адресою: м.Чорноморськ, пр-т Миру, 15-А (1п.)</t>
  </si>
  <si>
    <t>капітальний ремонт ліфту за адресою: м.Чорноморськ, пр-т Миру, 28 (2п. правий)</t>
  </si>
  <si>
    <t>капітальний ремонт ліфту за адресою: м.Чорноморськ, пр-т Миру, 39 (4п.)</t>
  </si>
  <si>
    <t>капітальний ремонт ліфту за адресою: м.Чорноморськ, вул.Олександрійська, 22 (3п.)</t>
  </si>
  <si>
    <t>капітальний ремонт по заміні ліфту за адресою: м.Чорноморськ, вул.Паркова, 2</t>
  </si>
  <si>
    <t>капітальний ремонт по заміні ліфту за адресою: м.Чорноморськ, вул.Паркова, 2-А</t>
  </si>
  <si>
    <t>капітальний ремонт ліфту за адресою: м.Чорноморськ, вул.Парусна, 16 (1, 3, 4п.)</t>
  </si>
  <si>
    <t>1216016</t>
  </si>
  <si>
    <t>6016</t>
  </si>
  <si>
    <t xml:space="preserve">Впровадження засобів обліку витрат та регулювання споживання води та теплової енергії </t>
  </si>
  <si>
    <t>Встановлення внутрішньобудинкових лічильників на багатоквартирні будинки м.Чорноморська Одеської області</t>
  </si>
  <si>
    <t>Капітальний ремонт зеленої зони</t>
  </si>
  <si>
    <t>Капітальний ремонт зовнішнього освітлення, у т.ч. техумови, проектування, експертиза, ілюмінація разом, в т.ч.:</t>
  </si>
  <si>
    <t>придбання святкової ілюмінації</t>
  </si>
  <si>
    <t>капітальний ремонт зовнішнього освітлення за адресою м.Чорноморськ, вул.Паркова (від перехрестя вул.1 Травня та вул.Паркова до вул.Данченка)</t>
  </si>
  <si>
    <t>капітальний ремонт зовнішнього освітлення за адресою м.Чорноморськ, парк Приморський (від "Метрополісу" до "Лео")</t>
  </si>
  <si>
    <t>капітальний ремонт зовнішнього освітлення за адресою м.Чорноморськ, 9 мкрн.</t>
  </si>
  <si>
    <t>Капітальний ремонт дитячих та спортивних майданчиків з улаштуванням та заміною окремих елементів на території Чорноморської міської ради, в т.ч. :</t>
  </si>
  <si>
    <t>капітальний ремонт спортивного майданчику з улаштуванням тартанового покриття за адресою : м.Чорноморськ, вул. Віталія Шума, 15-17-17-А</t>
  </si>
  <si>
    <t>капітальний ремонт дитячих майданчиків з улаштуванням тартанового покриття за адресою: м.Чорноморськ, парк Приморський</t>
  </si>
  <si>
    <t>капітальні ремонти дитячих майданчиків з улаштуванням тартанового покриття за адресою: м.Чорноморськ, парк Молодіжний</t>
  </si>
  <si>
    <t>капітальний ремонт дитячого майданчику  за адресою: м.Чорноморськ, вул.Віталія Шума, 19</t>
  </si>
  <si>
    <t>капітальний ремонт дитячого майданчику за адресою: м.Чорноморськ, сквер Олександрійський</t>
  </si>
  <si>
    <t>Капітальний ремонт благоустрою прибудинкової території по пров.Хантадзе, 4, м.Чорноморськ</t>
  </si>
  <si>
    <t>Капітальний ремонт благоустрою прибудинкової території по вул.Паркова, 20 м.Чорноморськ</t>
  </si>
  <si>
    <t>Капітальний ремонт внутрішньоквартальних проїздів та прибудинкових територій</t>
  </si>
  <si>
    <t>Капітальний ремонт фонтану "Сіті" у парку Приморський</t>
  </si>
  <si>
    <t>Капітальний ремонт міських туалетів</t>
  </si>
  <si>
    <t>Придбання основних засобів для КП "Зеленгосп (трактор МТЗ-80)</t>
  </si>
  <si>
    <t>Відновлення елементів благоустрою - капітальний ремонт прибудинкової території з улаштуванням спортивного майданчику за адресою м.Чорноморськ, 13 мкрн.</t>
  </si>
  <si>
    <t>Відновлення елементів благоустрою - капітальний ремонт прибудинкової території з установкою елементів дитячого майданчику за адресою: м.Чорноморськ, пр-т Миру, 2-4</t>
  </si>
  <si>
    <t>Відновлення елементів благоустрою - капітальний ремонт прибудинкової території з установкою елементів дитячого майданчику за адресою м.Чорноморськ, вул.Паркова, 46</t>
  </si>
  <si>
    <t>Відновлення елементів благоустрою - капітальний ремонт прибудинкової території з установкою елементів дитячого майданчику за адресою м.Чорноморськ, вул.Паркова, 36</t>
  </si>
  <si>
    <t>Відновлення елементів благоустрою - капітальний ремонт прибудинкової території за адресами м.Чорноморськ, вул.1 Травня, 8, 8а, 10</t>
  </si>
  <si>
    <t>Відновлення елементів благоустрою - капітальний ремонт прибудинкової території за адресами м.Чорноморськ, вул.Віталія Шума, 21, вул.Парусна, 16</t>
  </si>
  <si>
    <t>Відновлення елементів благоустрою - капітальний ремонт прибудинкової території за адресою м.Чорноморськ, вул.Спортивна, 3</t>
  </si>
  <si>
    <t>Відновлення елементів благоустрою - улаштування внутріквартального проїзду за адресою м.Чорноморськ, 9 мкрн.</t>
  </si>
  <si>
    <r>
      <t xml:space="preserve">Облаштування скверу по вул.Спортивній, 6-6а м.Чорноморськ </t>
    </r>
    <r>
      <rPr>
        <b/>
        <sz val="14"/>
        <rFont val="Times New Roman"/>
        <family val="1"/>
        <charset val="204"/>
      </rPr>
      <t>(за рахунок субвенції з обласного бюджету на виконання інвестиційних проектів)</t>
    </r>
  </si>
  <si>
    <r>
      <t xml:space="preserve">Благоустрій прибудинкових територій вул.Олександрійська, 10, 1 Травня, 13 м.Чорноморськ </t>
    </r>
    <r>
      <rPr>
        <b/>
        <sz val="14"/>
        <rFont val="Times New Roman"/>
        <family val="1"/>
        <charset val="204"/>
      </rPr>
      <t>(за рахунок субвенції з обласного бюджету на виконання інвестиційних проектів)</t>
    </r>
  </si>
  <si>
    <t>Будівництво зливового колектора (м.Чорноморськ, вул.Шевченка / парк Молодіжний)</t>
  </si>
  <si>
    <t>Будівництво колектора зливової каналізації довжиною 925м від вул.Данченка до вул.1 Травня в м.Чорноморськ Одеської області (1 етап)</t>
  </si>
  <si>
    <t xml:space="preserve">Будівництво міського туалету в Приморському парку в районі "Екстрім-парку" </t>
  </si>
  <si>
    <t>Капітальний ремонт вулиць та  доріг, придбання та улаштування зупинок міського транспорту, проектування та улаштування світлофорних об'єктів разом, в т.ч.:</t>
  </si>
  <si>
    <t>Капітальний ремонт вулиць та  доріг всього, в т.ч. за адресами :</t>
  </si>
  <si>
    <t>м.Чорноморськ, вул.8 Березня</t>
  </si>
  <si>
    <t>м.Чорноморськ, вул.Зелена</t>
  </si>
  <si>
    <t>м.Чорноморськ, пр-т Миру</t>
  </si>
  <si>
    <t>м.Чорноморськ, вул.Олександрійська (від вул.1 Травня до пров.Шкільний)</t>
  </si>
  <si>
    <t>м.Чорноморськ, вул.Парусна</t>
  </si>
  <si>
    <t>тротуари по центральним вулицям міста</t>
  </si>
  <si>
    <t>сел.Олександрівка, вул.Молодіжна</t>
  </si>
  <si>
    <t>сел.Олександрівка, вул.Пушкіна</t>
  </si>
  <si>
    <t>сел.Олександрівка, вул.Центральна</t>
  </si>
  <si>
    <t>с.Малодолинське, вул.Курортна</t>
  </si>
  <si>
    <t>с.Малодолинське, вул.Миру</t>
  </si>
  <si>
    <t>с.Малодолинське, вул.Незалежності</t>
  </si>
  <si>
    <t>с.Бурлача Балка, вул.Садова</t>
  </si>
  <si>
    <t>Улаштування зупинок міського транспорту</t>
  </si>
  <si>
    <t>Проектування та улаштування світлофорних об'єктів (перехрестя вул.Шума та вул.Парусна)</t>
  </si>
  <si>
    <t>м.Чорноморськ, вул.1 Травня, 4 (2п.)</t>
  </si>
  <si>
    <t>м.Чорноморськ, вул.1 Травня, 4-А (2,5п.)</t>
  </si>
  <si>
    <t>м.Чорноморськ, вул.1 Травня, 10 (5,6п.)</t>
  </si>
  <si>
    <t>м.Чорноморськ, вул.Данченка, 4 (1-2п.)</t>
  </si>
  <si>
    <t>м.Чорноморськ, пр-т Миру, 2</t>
  </si>
  <si>
    <t>м.Чорноморськ, пр-т Миру, 22 (4п.)</t>
  </si>
  <si>
    <t>м.Чорноморськ, вул.Паркова, 6 (2,4,5п.)</t>
  </si>
  <si>
    <t>м.Чорноморськ, вул.Хантадзе, 12 (1-2п.)</t>
  </si>
  <si>
    <t>1510160</t>
  </si>
  <si>
    <t>1516082</t>
  </si>
  <si>
    <t>6082</t>
  </si>
  <si>
    <t>Придбання житла для окремих категорій населення відповідно до законодавства</t>
  </si>
  <si>
    <t>Придбання житла для пільгової категорії населення</t>
  </si>
  <si>
    <t>Реконструкція території гімназії № 1 в м. Чорноморськ,  по вул. Шевченко,  8 з будівництвом учбово-виховного комплексу початкової школи та гімназії на 660 учнів. Будівництво учбово - виховного комплексу</t>
  </si>
  <si>
    <t>2012-2020</t>
  </si>
  <si>
    <t>Будівництво об'єкту "Будівництво господарчо-побутової каналізації по вул. Олександрійської у м. Чорноморськ"</t>
  </si>
  <si>
    <t>2018-2019</t>
  </si>
  <si>
    <t>Будівництво інших об'єктів. Дослідження, отримання ТУ на проектування  і проектно-кошторисна документація</t>
  </si>
  <si>
    <t>Реконструкція приміщення складу хлору під цех механічного зневоднення осаду каналізаційних очисних споруд м. Чорноморська за адресою Одеська обл., Овідіопольський район, Дальницька сільська рада, комплекс будівель та споруд № 2 (за межами населеного пункту)</t>
  </si>
  <si>
    <t>Технічне переоснащення системи донної аерації першої секції аеротенка каналізаційних очисних споруд м.Чорноморська за адресою Одеська обл., Овідіопольський район, Дальницька сільська рада, комплекс будівель та споруд № 2 (за межами населеного пункту)</t>
  </si>
  <si>
    <t>Придбання мулошкребу для заміни на первинному відстійнику каналізаційних очисних споруд м.Чорноморська</t>
  </si>
  <si>
    <t>Реконструкція комплексу дитячого дошкільного навчального закладу № 17 по вул. Світла, 5 в селищі Олександрівка, м. Чорноморськ, Одеської області, зі збільшенням місткості до 80 місць</t>
  </si>
  <si>
    <t>2018-2022</t>
  </si>
  <si>
    <t>Проектування будівництва дошкільного навчального закладу в с.Малодолинське, м.Чорноморськ</t>
  </si>
  <si>
    <t>Проектування будівництва надземного пішохідного переходу над залізничними коліями на станції Ксенієво в с.Малодолинське, м.Чорноморськ</t>
  </si>
  <si>
    <t>Капітальний ремонт Палацу спорту "Юність"</t>
  </si>
  <si>
    <t>1518311</t>
  </si>
  <si>
    <t>8311</t>
  </si>
  <si>
    <t>0511</t>
  </si>
  <si>
    <t>Охорона та раціональне використання природних ресурсів</t>
  </si>
  <si>
    <t>Протизсувні заходи у прибережній зоні в районі 9-го мікрорайону м. Чорноморськ</t>
  </si>
  <si>
    <t>2013-2019</t>
  </si>
  <si>
    <t>3100000</t>
  </si>
  <si>
    <t>Управління комунальної власності та земельних відносин  Чорноморської міської ради Одеської області</t>
  </si>
  <si>
    <t>3110000</t>
  </si>
  <si>
    <t>3110160</t>
  </si>
  <si>
    <t>3117130</t>
  </si>
  <si>
    <t>Роботи по землеустрою на території Чорноморської міської ради</t>
  </si>
  <si>
    <t>3117370</t>
  </si>
  <si>
    <t>Капітальний ремонт будинку побуту "Шкільний" (утеплення стін і ремонт покрівлі) за адресою: м. Чорноморськ, Одеської області, вул. Шевченка,2</t>
  </si>
  <si>
    <t>3117650</t>
  </si>
  <si>
    <t>7650</t>
  </si>
  <si>
    <t>Проведення експертної грошової оцінки земельної ділянки чи права на неї</t>
  </si>
  <si>
    <t>3117660</t>
  </si>
  <si>
    <t>7660</t>
  </si>
  <si>
    <t>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</t>
  </si>
  <si>
    <t>3117670</t>
  </si>
  <si>
    <t>7670</t>
  </si>
  <si>
    <t>Внески до статутного капіталу суб'єктів господарювання</t>
  </si>
  <si>
    <t>3117693</t>
  </si>
  <si>
    <t>Придбання спортивного обладнання для КП "Палац спорту "Юність"</t>
  </si>
  <si>
    <t>3710160</t>
  </si>
  <si>
    <t>3710180</t>
  </si>
  <si>
    <t>0133</t>
  </si>
  <si>
    <t>Інша діяльність у сфері державного управління</t>
  </si>
  <si>
    <t>зокрема :</t>
  </si>
  <si>
    <t>нерозподілені видатки за рахунок субвенції з обласного бюджету на виконання інвестиційних проектів</t>
  </si>
  <si>
    <t>3719770</t>
  </si>
  <si>
    <t>9770</t>
  </si>
  <si>
    <t>Інші субвенції з місцевого бюджету</t>
  </si>
  <si>
    <t>Проектування та улаштування світлофорного об'єкту ("Т-образне" перехрестя вул.Едуарда Савінова та вул.Космонавтів, с.Малодолинське, м.Чорноморськ, на ділянці дороги Одеса - Чорноморськ, М-27)</t>
  </si>
  <si>
    <t xml:space="preserve">Видатки, рекомендовані постійною комісією з фінансово-економічних питань, бюджету, інвестицій та комунальної власності  до резерву </t>
  </si>
  <si>
    <t>капітальний ремонт зовнішнього освітлення, у т.ч. техумови, проектування, експертиза, ілюмінація разом, в т.ч.:</t>
  </si>
  <si>
    <t>Вик. О.М. Яковенко</t>
  </si>
  <si>
    <r>
      <t xml:space="preserve">Капітальний ремонт (заміна вікон) в дошкільних навчальних закладах - </t>
    </r>
    <r>
      <rPr>
        <b/>
        <sz val="14"/>
        <rFont val="Times New Roman"/>
        <family val="1"/>
        <charset val="204"/>
      </rPr>
      <t>за рахунок залишку коштів субвенції з обласного бюджету на виконання інвестиційних проектів</t>
    </r>
  </si>
  <si>
    <r>
      <t xml:space="preserve">Відновлення елементів благоустрою – капітальний ремонт на території Чорноморської загальноосвітньої школи I-III ступенів № 6 (внутрішній дворик) з улаштуванням тротуарної плитки та дитячих ігрових елементів за адресою: Одеська область, м.Чорноморськ, вул. Спортивна, 3А </t>
    </r>
    <r>
      <rPr>
        <b/>
        <sz val="14"/>
        <rFont val="Times New Roman"/>
        <family val="1"/>
        <charset val="204"/>
      </rPr>
      <t>(за рахунок коштів субвенції з обласного бюджету на виконання інвестиційних проектів)</t>
    </r>
  </si>
  <si>
    <t>Нерозподілені видатки за рахунок субвенції з обласного бюджету на виконання інвестиційних проектів</t>
  </si>
  <si>
    <r>
      <t xml:space="preserve">Будівництво дошкільного навчального закладу на 80 місць по вул. Зелена, 1а, в с. Малодолинське, м.Чорноморськ, Одеська область </t>
    </r>
    <r>
      <rPr>
        <b/>
        <sz val="14"/>
        <rFont val="Times New Roman"/>
        <family val="1"/>
        <charset val="204"/>
      </rPr>
      <t>(за рахунок коштів субвенції з обласного бюджету на виконання інвестиційних проектів)</t>
    </r>
  </si>
  <si>
    <r>
      <t>м.Чорноморськ, вул.Паркова, 4</t>
    </r>
    <r>
      <rPr>
        <b/>
        <i/>
        <sz val="14"/>
        <rFont val="Times New Roman"/>
        <family val="1"/>
        <charset val="204"/>
      </rPr>
      <t xml:space="preserve"> (за рахунок залишку коштів субвенції з обласного бюджету на виконання інвестиційних проектів)</t>
    </r>
  </si>
  <si>
    <r>
      <t xml:space="preserve">м.Чорноморськ, вул.Корабельна, 12 </t>
    </r>
    <r>
      <rPr>
        <b/>
        <i/>
        <sz val="14"/>
        <rFont val="Times New Roman"/>
        <family val="1"/>
        <charset val="204"/>
      </rPr>
      <t>(за рахунок залишку коштів субвенції з обласного бюджету на виконання інвестиційних проектів)</t>
    </r>
  </si>
  <si>
    <r>
      <t xml:space="preserve">Капітальний ремонт житлового фонду (ремонт вхідних груп у 4-х парадних житлового багатоповерхового будинку) по вул.Парусна, буд.3 у м.Чорноморську Одеської області </t>
    </r>
    <r>
      <rPr>
        <b/>
        <i/>
        <sz val="14"/>
        <color theme="1"/>
        <rFont val="Times New Roman"/>
        <family val="1"/>
        <charset val="204"/>
      </rPr>
      <t>(за рахунок залишку коштів субвенції з державного бюджету на соціально - економічний розвиток)</t>
    </r>
  </si>
  <si>
    <r>
      <t xml:space="preserve">Капітальний ремонт житлового фонду (ремонт вхідних груп у 6-ти парадних із заміною дверей у 3-х парадних житлового багатоквартирного будинку) по вул.Паркова, буд.8-А, у м.Чорноморську Одеської області </t>
    </r>
    <r>
      <rPr>
        <b/>
        <i/>
        <sz val="14"/>
        <color theme="1"/>
        <rFont val="Times New Roman"/>
        <family val="1"/>
        <charset val="204"/>
      </rPr>
      <t>(за рахунок залишку коштів субвенції з державного бюджету на соціально - економічний розвиток)</t>
    </r>
  </si>
  <si>
    <r>
      <t xml:space="preserve">Капітальний ремонт житлового фонду (ремонт вхідних груп у 2-х парадних житлового багатоквартирного будинку) по вул.1 Травня, буд.2 у м.Чорноморську Одеської області </t>
    </r>
    <r>
      <rPr>
        <b/>
        <i/>
        <sz val="14"/>
        <color theme="1"/>
        <rFont val="Times New Roman"/>
        <family val="1"/>
        <charset val="204"/>
      </rPr>
      <t>(за рахунок залишку коштів субвенції з державного бюджету на соціально - економічний розвиток)</t>
    </r>
  </si>
  <si>
    <r>
      <t xml:space="preserve">Капітальний ремонт мереж  вуличного освітлення по вулицях Українській, Робочій, Молодіжній, провулку Вознесенському в селі Малодолоинське міста Чорноморська Одеської області </t>
    </r>
    <r>
      <rPr>
        <b/>
        <sz val="14"/>
        <rFont val="Times New Roman"/>
        <family val="1"/>
        <charset val="204"/>
      </rPr>
      <t>(за рахунок залишку коштів субвенції з державного бюджету на соціально - економічний розвиток)</t>
    </r>
  </si>
  <si>
    <r>
      <t xml:space="preserve">Відновлення елементів благоустрою - капітальний ремонт лійній зовнішнього освітлення по вул.Лейтенанта Шмідта в с.Малодолинське містаЧорноморськ Одеської області </t>
    </r>
    <r>
      <rPr>
        <b/>
        <sz val="14"/>
        <rFont val="Times New Roman"/>
        <family val="1"/>
        <charset val="204"/>
      </rPr>
      <t>(за рахунок залишку коштів субвенції з державного бюджету насоціально - економічний розвиток)</t>
    </r>
  </si>
  <si>
    <r>
      <t>Капітальний ремонт (благоустрій) прибудинкової території житлових будинків по вул.Данченка, 3-Б, вул.Данченка, 3-В, вул.Данченка, 12, пр-ту Миру, 11, пр-ту Миру, 11-Б в м.Чорноморськ</t>
    </r>
    <r>
      <rPr>
        <b/>
        <sz val="14"/>
        <rFont val="Times New Roman"/>
        <family val="1"/>
        <charset val="204"/>
      </rPr>
      <t xml:space="preserve"> (за рахунок залишку коштів субвенції з обласного бюджету на виконання інвестиційних проектів)</t>
    </r>
  </si>
  <si>
    <r>
      <t xml:space="preserve">Відновлення елементів благоустрою - улаштування дитячого майданчика за адресою: м.Чорноморськ, вул.Парусна, 1-О </t>
    </r>
    <r>
      <rPr>
        <b/>
        <sz val="14"/>
        <rFont val="Times New Roman"/>
        <family val="1"/>
        <charset val="204"/>
      </rPr>
      <t>(за рахунок залишку коштів субвенції з обласного бюджету на виконання інвестиційних проектів)</t>
    </r>
  </si>
  <si>
    <r>
      <t xml:space="preserve">Капітальний ремонт дорожнього покриття по вул.Заречна (на ділянці від провулку Гвардійського до вулиці Васнецова) у селі Малодолинське міста Чорноморську Одеської області - </t>
    </r>
    <r>
      <rPr>
        <b/>
        <sz val="14"/>
        <rFont val="Times New Roman"/>
        <family val="1"/>
        <charset val="204"/>
      </rPr>
      <t>за рахунок залишку коштів субвенції з державного бюджету на соціально - економічний розвиток</t>
    </r>
  </si>
  <si>
    <r>
      <t xml:space="preserve">Капітальний ремонт житлового фонду (ремонт вхідної групи в 1-й парадній житлового багатоповерхового будинку) за адресою: Одеська область, м. Чорноморськ, проспект Миру, 41 (5 під’їзд) - </t>
    </r>
    <r>
      <rPr>
        <b/>
        <i/>
        <sz val="14"/>
        <color theme="1"/>
        <rFont val="Times New Roman"/>
        <family val="1"/>
        <charset val="204"/>
      </rPr>
      <t>за рахунок коштів субвенції з обласного бюджету на виконання інвестиційних проектів</t>
    </r>
  </si>
  <si>
    <r>
      <t xml:space="preserve">Капітальний ремонт житлового фонду (ремонт вхідних груп у 3-х парадних житлового багатоповерхового будинку) за адресою: Одеська область, м. Чорноморськ, проспект Миру, 43 (5,7,8 під’їзди) </t>
    </r>
    <r>
      <rPr>
        <b/>
        <i/>
        <sz val="14"/>
        <color theme="1"/>
        <rFont val="Times New Roman"/>
        <family val="1"/>
        <charset val="204"/>
      </rPr>
      <t>- за рахунок коштів субвенції з обласного бюджету на виконання інвестиційних проектів</t>
    </r>
  </si>
  <si>
    <r>
      <t xml:space="preserve">Капітальний ремонт житлового фонду (ремонт вхідних груп у 2-х парадних житлового багатоквартирного будинку) по вулиці Паркова, буд. 20, у м.Чорноморськ Одеської області </t>
    </r>
    <r>
      <rPr>
        <b/>
        <i/>
        <sz val="14"/>
        <color theme="1"/>
        <rFont val="Times New Roman"/>
        <family val="1"/>
        <charset val="204"/>
      </rPr>
      <t>- за рахунок коштів субвенції з обласного бюджету на виконання інвестиційних проектів</t>
    </r>
  </si>
  <si>
    <r>
      <t xml:space="preserve">Капітальний ремонт житлового фонду (ремонт вхідних груп у 2-х парадних житлового багатоквартирного будинку) по вулиці Віталія Шума, буд. 13-А, у м. Чорноморську Одеської області </t>
    </r>
    <r>
      <rPr>
        <b/>
        <i/>
        <sz val="14"/>
        <color theme="1"/>
        <rFont val="Times New Roman"/>
        <family val="1"/>
        <charset val="204"/>
      </rPr>
      <t>- за рахунок коштів субвенції з обласного бюджету на виконання інвестиційних проектів</t>
    </r>
  </si>
  <si>
    <r>
      <t xml:space="preserve">Капітальний ремонт мереж холодного водопостачання, водовідведення та мереж центрального опалення житлового будинку за адресою: проспект Миру, 13А, м.Чорноморськ, Одеської області </t>
    </r>
    <r>
      <rPr>
        <b/>
        <i/>
        <sz val="14"/>
        <color theme="1"/>
        <rFont val="Times New Roman"/>
        <family val="1"/>
        <charset val="204"/>
      </rPr>
      <t>- за рахунок коштів субвенції з обласного бюджету на виконання інвестиційних проектів</t>
    </r>
  </si>
  <si>
    <r>
      <t xml:space="preserve">Капітальний ремонт мереж холодного водопостачання та водовідведення житлового будинку за адресою: проспект Миру, 15А, м.Чорноморськ, Одеської області  </t>
    </r>
    <r>
      <rPr>
        <b/>
        <i/>
        <sz val="14"/>
        <color theme="1"/>
        <rFont val="Times New Roman"/>
        <family val="1"/>
        <charset val="204"/>
      </rPr>
      <t>- за рахунок коштів субвенції з обласного бюджету на виконання інвестиційних проектів</t>
    </r>
  </si>
  <si>
    <r>
      <t xml:space="preserve">Відновлення елементів благоустрою – капітальний ремонт прибудинкової території з улаштуванням огородження квітників між 4-5, 5-6 (орієнтовно 55 м.п.) під’їздами багатоквартирного будинку за адресою: Одеська область, м.Чорноморськ, проспект Миру, 41  - </t>
    </r>
    <r>
      <rPr>
        <b/>
        <sz val="14"/>
        <color theme="1"/>
        <rFont val="Times New Roman"/>
        <family val="1"/>
        <charset val="204"/>
      </rPr>
      <t>за рахунок коштів субвенції з обласного бюджету на виконання інвестиційних проектів</t>
    </r>
  </si>
  <si>
    <r>
      <t>Відновлення елементів благоустрою – капітальний ремонт прибудинкової території з улаштуванням огородження квітників за адресою: Одеська область, м. Чорноморськ, вулиця Віталія Шума, буд. 13-А -</t>
    </r>
    <r>
      <rPr>
        <b/>
        <sz val="14"/>
        <color theme="1"/>
        <rFont val="Times New Roman"/>
        <family val="1"/>
        <charset val="204"/>
      </rPr>
      <t xml:space="preserve">  за рахунок коштів субвенції з обласного бюджету на виконання інвестиційних проектів</t>
    </r>
  </si>
  <si>
    <r>
      <t xml:space="preserve">Капітальний ремонт по благоустрою прибудинкової території по вул. Паркова, буд. 2, у м.Чорноморськ Одеської області  -  </t>
    </r>
    <r>
      <rPr>
        <b/>
        <sz val="14"/>
        <color theme="1"/>
        <rFont val="Times New Roman"/>
        <family val="1"/>
        <charset val="204"/>
      </rPr>
      <t>за рахунок коштів субвенції з обласного бюджету на виконання інвестиційних проектів</t>
    </r>
  </si>
  <si>
    <r>
      <t xml:space="preserve">Капітальний ремонт по благоустрою прибудинкової території по вул. Паркова, буд. 4, у м.Чорноморськ Одеської області -  </t>
    </r>
    <r>
      <rPr>
        <b/>
        <sz val="14"/>
        <color theme="1"/>
        <rFont val="Times New Roman"/>
        <family val="1"/>
        <charset val="204"/>
      </rPr>
      <t>за рахунок коштів субвенції з обласного бюджету на виконання інвестиційних проектів</t>
    </r>
  </si>
  <si>
    <r>
      <t xml:space="preserve">Капітальний ремонт-відновлення елементів об`єкту благоустрою проїжджої частини вул. Радісна (на ділянці від вул.Приморська до житлового будинку по вул.Радісна, 21), м.Чорноморськ, Одеської області -  </t>
    </r>
    <r>
      <rPr>
        <b/>
        <sz val="14"/>
        <color theme="1"/>
        <rFont val="Times New Roman"/>
        <family val="1"/>
        <charset val="204"/>
      </rPr>
      <t>за рахунок коштів субвенції з обласного бюджету на виконання інвестиційних проектів</t>
    </r>
  </si>
  <si>
    <r>
      <t xml:space="preserve">Капітальний ремонт покриття дитячого майданчику біля житлового будинку по вул. Паркова, 18, в м.Чорноморськ </t>
    </r>
    <r>
      <rPr>
        <b/>
        <sz val="14"/>
        <color theme="1"/>
        <rFont val="Times New Roman"/>
        <family val="1"/>
        <charset val="204"/>
      </rPr>
      <t>-  за рахунок коштів субвенції з обласного бюджету на виконання інвестиційних проектів</t>
    </r>
  </si>
  <si>
    <r>
      <t xml:space="preserve">Капітальний ремонт покриття дитячого майданчику біля житлового будинку по вул. Паркова, 12, в м.Чорноморськ </t>
    </r>
    <r>
      <rPr>
        <b/>
        <sz val="14"/>
        <color theme="1"/>
        <rFont val="Times New Roman"/>
        <family val="1"/>
        <charset val="204"/>
      </rPr>
      <t>-  за рахунок коштів субвенції з обласного бюджету на виконання інвестиційних проектів</t>
    </r>
  </si>
  <si>
    <r>
      <t xml:space="preserve">Капітальний ремонт покриття дитячого майданчику біля житлового будинку по вул. Данченко, 5А, в м.Чорноморськ -  </t>
    </r>
    <r>
      <rPr>
        <b/>
        <sz val="14"/>
        <color theme="1"/>
        <rFont val="Times New Roman"/>
        <family val="1"/>
        <charset val="204"/>
      </rPr>
      <t>за рахунок коштів субвенції з обласного бюджету на виконання інвестиційних проектів</t>
    </r>
  </si>
  <si>
    <r>
      <t xml:space="preserve">Відновлення елементів благоустрою-капітальний ремонт покриття прибудинкової території за адресою: вул. Паркова, 16, м.Чорноморськ, Одеської області -  </t>
    </r>
    <r>
      <rPr>
        <b/>
        <sz val="14"/>
        <color theme="1"/>
        <rFont val="Times New Roman"/>
        <family val="1"/>
        <charset val="204"/>
      </rPr>
      <t>за рахунок коштів субвенції з обласного бюджету на виконання інвестиційних проектів</t>
    </r>
  </si>
  <si>
    <r>
      <t xml:space="preserve">Відновлення елементів благоустрою-капітальний ремонт покриття прибудинкової території за адресою: вул. Паркова, 18, м.Чорноморськ, Одеської області -  </t>
    </r>
    <r>
      <rPr>
        <b/>
        <sz val="14"/>
        <color theme="1"/>
        <rFont val="Times New Roman"/>
        <family val="1"/>
        <charset val="204"/>
      </rPr>
      <t>за рахунок коштів субвенції з обласного бюджету на виконання інвестиційних проектів</t>
    </r>
  </si>
  <si>
    <r>
      <t xml:space="preserve">м.Чорноморськ, вул.Паркова, 10 - </t>
    </r>
    <r>
      <rPr>
        <b/>
        <i/>
        <sz val="14"/>
        <color theme="1"/>
        <rFont val="Times New Roman"/>
        <family val="1"/>
        <charset val="204"/>
      </rPr>
      <t>за рахунок субвенції з обласного бюджету на виконання інвестиційних проектів</t>
    </r>
  </si>
  <si>
    <r>
      <t xml:space="preserve">м.Чорноморськ, вул.Парусна, 7 - </t>
    </r>
    <r>
      <rPr>
        <b/>
        <i/>
        <sz val="14"/>
        <color theme="1"/>
        <rFont val="Times New Roman"/>
        <family val="1"/>
        <charset val="204"/>
      </rPr>
      <t>за рахунок субвенції з обласного бюджету на виконання інвестиційних проектів</t>
    </r>
  </si>
  <si>
    <r>
      <t xml:space="preserve">м. Чорноморськ, вул. Паркова, 18 </t>
    </r>
    <r>
      <rPr>
        <b/>
        <i/>
        <sz val="14"/>
        <color theme="1"/>
        <rFont val="Times New Roman"/>
        <family val="1"/>
        <charset val="204"/>
      </rPr>
      <t>- за рахунок субвенції з обласного бюджету на виконання інвестиційних проектів</t>
    </r>
  </si>
  <si>
    <r>
      <t xml:space="preserve">м. Чорноморськ, вул. Данченко, 3В  </t>
    </r>
    <r>
      <rPr>
        <b/>
        <i/>
        <sz val="14"/>
        <color theme="1"/>
        <rFont val="Times New Roman"/>
        <family val="1"/>
        <charset val="204"/>
      </rPr>
      <t>- за рахунок субвенції з обласного бюджету на виконання інвестиційних проектів</t>
    </r>
  </si>
  <si>
    <r>
      <t xml:space="preserve">м. Чорноморськ, проспект Миру, 15А </t>
    </r>
    <r>
      <rPr>
        <b/>
        <i/>
        <sz val="14"/>
        <color theme="1"/>
        <rFont val="Times New Roman"/>
        <family val="1"/>
        <charset val="204"/>
      </rPr>
      <t>- за рахунок субвенції з обласного бюджету на виконання інвестиційних проектів</t>
    </r>
  </si>
  <si>
    <r>
      <t xml:space="preserve">м. Чорноморськ, вул. 1-го Травня, 2А </t>
    </r>
    <r>
      <rPr>
        <b/>
        <i/>
        <sz val="14"/>
        <color theme="1"/>
        <rFont val="Times New Roman"/>
        <family val="1"/>
        <charset val="204"/>
      </rPr>
      <t>- за рахунок субвенції з обласного бюджету на виконання інвестиційних проектів</t>
    </r>
  </si>
  <si>
    <r>
      <t xml:space="preserve">Капітальний ремонт (заміна дверей) у під`їздах та міжповерхових клітинах багатоповерхового будинку за адресою: м. Чорноморськ, вул. 1-го Травня, 2 </t>
    </r>
    <r>
      <rPr>
        <b/>
        <sz val="14"/>
        <color theme="1"/>
        <rFont val="Times New Roman"/>
        <family val="1"/>
        <charset val="204"/>
      </rPr>
      <t>- за рахунок субвенції з обласного бюджету на виконання інвестиційних проектів</t>
    </r>
  </si>
  <si>
    <r>
      <t>м.Чорноморськ, вул.Парусна, буд. 16 (7п.)</t>
    </r>
    <r>
      <rPr>
        <b/>
        <i/>
        <sz val="14"/>
        <color theme="1"/>
        <rFont val="Times New Roman"/>
        <family val="1"/>
        <charset val="204"/>
      </rPr>
      <t xml:space="preserve">  - за рахунок субвенції з обласного бюджету на виконання інвестиційних проектів</t>
    </r>
  </si>
  <si>
    <t>Відновлення благоустрою міського пляжу з метою улаштування майданчику для людей з особливими фізичними можливостями</t>
  </si>
  <si>
    <t>Капітальний ремонт покрівлі за адресою : м.Чорноморськ, вул.Олександрійська, 4-А/ 5,6п.</t>
  </si>
  <si>
    <t>Капітальний ремонт шиферної покрівлі за адресою: м.Чорноморськ, вул.Корабельна, 12</t>
  </si>
  <si>
    <t>0990</t>
  </si>
  <si>
    <t>Додаток 6</t>
  </si>
  <si>
    <t>0611170</t>
  </si>
  <si>
    <t>1170</t>
  </si>
  <si>
    <t>Забезпечення діяльності інклюзивно - ресурсних центрів</t>
  </si>
  <si>
    <t>Капітальні видатки по ЗОШ № 1</t>
  </si>
  <si>
    <t>Капітальні видатки по ЗОШ № 7</t>
  </si>
  <si>
    <t>Капітальні видатки по ЗОШ № 3</t>
  </si>
  <si>
    <t>Капітальний ремонт покрівлі за адресою : м.Чорноморськ, вул.Олександрійська,1</t>
  </si>
  <si>
    <t>Капітальний ремонт мереж електропостачання житлового будинку за адресою м.Чорноморськ, просп.Миру, 4а</t>
  </si>
  <si>
    <t>Капітальний ремонт багатоквартирного житлового будинку (відновлення вхідних груп) за адресою м.Чорноморськ, просп.Миру, 20а</t>
  </si>
  <si>
    <t>Реконструкція теплового пункту житлового будинку за адресою м.Чорноморськ, вул.1 Травня, 15-а</t>
  </si>
  <si>
    <t>Капітальний ремонт багатоквартирного житлового будинку (встановлення решіток під дахом) за адресою  м.Чорноморськ, вул.В.Шума, 11</t>
  </si>
  <si>
    <t>Капітальний ремонт мереж електропостачання житлового будинку за адресою м.Чорноморськ, просп.Миру, 7а</t>
  </si>
  <si>
    <t>Капітальний ремонт багатоквартирного житлового будинку (відновлення вимощення) за адресою м.Чорноморськ, вул.Паркова, 26</t>
  </si>
  <si>
    <t>Капітальний ремонт багатоквартирного житлового будинку (відновлення вхідних груп) за адресою м.Чорноморськ, вул.Парусна, 7</t>
  </si>
  <si>
    <t>Капітальний ремонт багатоквартирного житлового будинку (відновлення вхідних груп) за адресою м.Чорноморськ, вул.Парусна,11</t>
  </si>
  <si>
    <t>Капітальний ремонт багатоквартирного житлового будинку (відновлення вхідних груп) за адресою м.Чорноморськ, вул.Парусна, 9</t>
  </si>
  <si>
    <t>Капітальний ремонт багатоквартирного житлового будинку за адресою м.Чорноморськ, вул.Паркова, 18</t>
  </si>
  <si>
    <t>Капітальний ремонт благоустрою прибудинкової території  за адресою м.Чорноморськ, вул.Лазурна, 7</t>
  </si>
  <si>
    <t>Капітальний ремонт благоустрою  прибудинкової території  з влаштуванням карманів для автомобілів за адресою м.Чорноморськ, вул.Паркова, 34</t>
  </si>
  <si>
    <t>Капітальний ремонт благоустрою  прибудинкової території за адресою м.Чорноморськ, вул.Олександрійська, 2-2а</t>
  </si>
  <si>
    <t>Капітальний ремонт благоустрою прибудинкової території  за адресою м.Чорноморськ, вул.Олександрійська, 4а</t>
  </si>
  <si>
    <t xml:space="preserve">Капітальний ремонт благоустрою  прибудинкової території  з встановленням лав та сміттєвих урн за адресою м.Чорноморськ, пров.Шкільний, 4 </t>
  </si>
  <si>
    <t>Капітальний ремонт благоустрою з улаштуванням елементів  дитячого майданчику за адресою с.Малодолинське, вул.Молодіжна</t>
  </si>
  <si>
    <t>Капітальний ремонт благоустрою прибудинкової території з улаштуванням елементів  дитячого майданчику за адресою м.Чорноморськ, вул.Данченка, 12</t>
  </si>
  <si>
    <t>Капітальний ремонт благоустрою прибудинкової території  за адресою м.Чорноморськ, просп.Миру, 28</t>
  </si>
  <si>
    <t>Капітальний ремонт благоустрою прибудинкової території  за адресою м.Чорноморськ, вул.Паркова, 16-18</t>
  </si>
  <si>
    <t>м. Чорноморськ, вул. Данченко, 1а</t>
  </si>
  <si>
    <t>м. Чорноморськ, вул. Данченко, 4</t>
  </si>
  <si>
    <t>м. Чорноморськ, вул. Олександрійська, 12</t>
  </si>
  <si>
    <t>м. Чорноморськ, пр Миру, 10, 12, 15б, 16, 18, 23, 25, 27</t>
  </si>
  <si>
    <t>м. Чорноморськ, пр. Миру, 32</t>
  </si>
  <si>
    <t xml:space="preserve">м. Чорноморськ, вул. В. Шума, 9 </t>
  </si>
  <si>
    <t>м. Чорноморськ, вул. Лазурна, 3</t>
  </si>
  <si>
    <t>м. Чорноморськ, вул. 1 Травня, 13</t>
  </si>
  <si>
    <t>м. Чорноморськ, пр. Шкільний, 4</t>
  </si>
  <si>
    <t>м. Чорноморськ, вул. Паркова, 6а</t>
  </si>
  <si>
    <t>м. Чорноморськ, вул. Паркова, 8</t>
  </si>
  <si>
    <t>Капітальний ремонт (заміна дверей) у під`їзді   багатоквартирного  житлового будинку за адресою м.Чорноморськ, вул.Парусна, 10(2п.)</t>
  </si>
  <si>
    <t>Будівництво колектору зливової каналізації довжиною 125 м від вул.5 лінія до існуючої мережі в м.Чорноморськ Одеської області</t>
  </si>
  <si>
    <t>капітальний ремонт теплових мереж по вул.Хантадзе, 4-8</t>
  </si>
  <si>
    <t>Капітальний ремонт зовнішнього освітлення за адресою м.Чорноморськ, парк Приморський (від "Метрополісу" до "Лео")</t>
  </si>
  <si>
    <t>Капітальний ремонт зовнішнього освітлення в парку Приморському м.Чорноморська Одеської області</t>
  </si>
  <si>
    <t>Капітальний ремонт вулиць та доріг на території Чорноморської міської ради разом, зокрема:</t>
  </si>
  <si>
    <t>Капітальний ремонт ліфту - заміна станції керування ліфтом за адресою м.Чорноморськ, вул.В.Шума, 21 (6п.)</t>
  </si>
  <si>
    <r>
      <t>Придбання дидактичних матеріалів та сучасних меблів для учнів початкових класів (</t>
    </r>
    <r>
      <rPr>
        <b/>
        <sz val="14"/>
        <rFont val="Times New Roman"/>
        <family val="1"/>
        <charset val="204"/>
      </rPr>
      <t>за рахунок субвенції з місцевого бюджету на забезпечення якісної, сучасної та доступної загальної середньої освіти "Нова українська школа" за рахунок відповідної субвенції з державного бюджету)</t>
    </r>
  </si>
  <si>
    <r>
      <t xml:space="preserve">Капітальні видатки </t>
    </r>
    <r>
      <rPr>
        <b/>
        <sz val="14"/>
        <rFont val="Times New Roman"/>
        <family val="1"/>
        <charset val="204"/>
      </rPr>
      <t>(за рахунок субвенції з місцевого бюджету на надання державної підтримки особам з особливими освітніми потребами за рахунок відповідної субвенції з державного бюджету)</t>
    </r>
  </si>
  <si>
    <t>Капітальний ремонт  міжповерхових клітин в багатоквартирному будиннкуза адресою: м. Чорноморськ, вул.В.Шума, 21</t>
  </si>
  <si>
    <r>
      <t>Ремонт вхідних груп у 5-х парадних житлового багатоквартирного будинку по вул.Парусна, буд.12, у м.Чорноморську Одеської області</t>
    </r>
    <r>
      <rPr>
        <b/>
        <i/>
        <sz val="14"/>
        <rFont val="Times New Roman"/>
        <family val="1"/>
        <charset val="204"/>
      </rPr>
      <t xml:space="preserve"> (за рахунок залишку коштів субвенції з державного бюджету на соціально - еокономічний розвиток)</t>
    </r>
  </si>
  <si>
    <t>Капітальний ремонт багатоквартирного житлового будинку (відновлення вхідних груп) за адресою м.Чорноморськ, вул.Парусна,12</t>
  </si>
  <si>
    <t>Капітальний ремонт благоустрою прибудинкової території з улаштуванням елементів дитячого майданчика за адресою: м.Чорноморськ, проспект Миру, 23-25</t>
  </si>
  <si>
    <t>Капітальний ремонт  благоустрою прибудинкової території  за адресою м.Чорноморськ,вул.Паркова, 8а</t>
  </si>
  <si>
    <t>Капітальний ремонт благоустрою прибудинкової території  за адресою м.Чорноморськ, вул.Парусна, 11</t>
  </si>
  <si>
    <t>Капітальний ремонт (заміна дверей) у під`їзді   багатоквартирного  житлового будинку за адресою м.Чорноморськ, вул.Парусна, 12</t>
  </si>
  <si>
    <t>Секретар міської ради                                                                                                                                        О. П. Лисиця</t>
  </si>
  <si>
    <t xml:space="preserve">    </t>
  </si>
  <si>
    <t>Капітальний ремонт під'їзду, заміна вікон, капітальний ремонт мереж електропостачання багатоквартирного житлового будинку за адресою: м.Чорноморськ, проспект Миру, 12 (1п.)</t>
  </si>
  <si>
    <r>
      <t xml:space="preserve">Реконструкція приміщення складу хлору під цех механічного зневоднення осаду каналізаційних очисних споруд м.Чорноморська за адресою Одеська обл., Овідіопольський район, Дальницька сільська рада, комплекс будівель та споруд № 2 (за межами населеного пункту) - 2 пусковий комплекс - придбання та встановлення другого дегідратору </t>
    </r>
    <r>
      <rPr>
        <b/>
        <sz val="14"/>
        <rFont val="Times New Roman"/>
        <family val="1"/>
        <charset val="204"/>
      </rPr>
      <t>(співфінансування)</t>
    </r>
  </si>
  <si>
    <r>
      <t xml:space="preserve">Придбання мулососу для заміни на вторинному відстійнику каналізаційних очисних споруд м.Чорноморська за адресою Одеська обл., Овідіопольський район, Дальницька сільська рада, комплекс будівель та споруд № 2 (за межами населеного пункту) </t>
    </r>
    <r>
      <rPr>
        <b/>
        <sz val="14"/>
        <rFont val="Times New Roman"/>
        <family val="1"/>
        <charset val="204"/>
      </rPr>
      <t>(співфінансування)</t>
    </r>
  </si>
  <si>
    <r>
      <t xml:space="preserve">Придбання мулошкребу для заміни на первинному відстійнику каналізаційних очисних споруд м.Чорноморська за адресою Одеська обл., Овідіопольський район, Дальницька сільська рада, комплекс будівель та споруд № 2 (за межами населеного пункту) </t>
    </r>
    <r>
      <rPr>
        <b/>
        <sz val="14"/>
        <rFont val="Times New Roman"/>
        <family val="1"/>
        <charset val="204"/>
      </rPr>
      <t>(співфінансування)</t>
    </r>
  </si>
  <si>
    <r>
      <t xml:space="preserve">Придбання повітродувки на комплекс очисних споруд м.Чорноморська за адресою Одеська обл., Овідіопольський район, Дальницька сільська рада, комплекс будівель та споруд № 2 (за межами населеного пункту) </t>
    </r>
    <r>
      <rPr>
        <b/>
        <sz val="14"/>
        <rFont val="Times New Roman"/>
        <family val="1"/>
        <charset val="204"/>
      </rPr>
      <t>(співфінансування)</t>
    </r>
  </si>
  <si>
    <t>0611090</t>
  </si>
  <si>
    <t>Надання позашкільної освіти позашкільними закладами освіти, заходи із позашкільної роботи з дітьми</t>
  </si>
  <si>
    <t>1090</t>
  </si>
  <si>
    <t>0960</t>
  </si>
  <si>
    <t>від  09.04.2019  р.  № 414 - VII</t>
  </si>
  <si>
    <t xml:space="preserve">Зі змінами </t>
  </si>
  <si>
    <t>від 09.04.2019 № 414-VII</t>
  </si>
  <si>
    <t>Проверка</t>
  </si>
  <si>
    <r>
      <t xml:space="preserve">Капітальні видатки </t>
    </r>
    <r>
      <rPr>
        <sz val="14"/>
        <color rgb="FFFF0000"/>
        <rFont val="Times New Roman"/>
        <family val="1"/>
        <charset val="204"/>
      </rPr>
      <t>(Олекс-140,0 тис.грн., 300,0 тис.грн. Спорт майд. Олекс)</t>
    </r>
  </si>
  <si>
    <r>
      <t xml:space="preserve">в т.ч. заміна вікон за </t>
    </r>
    <r>
      <rPr>
        <b/>
        <i/>
        <sz val="14"/>
        <rFont val="Times New Roman"/>
        <family val="1"/>
        <charset val="204"/>
      </rPr>
      <t>рахунок залишку коштів субвенції з обласного бюджету на виконання інвестиційних проектів</t>
    </r>
  </si>
  <si>
    <t>Придбання дидактичних матеріалів та сучасних меблів для учнів початкових класів (за рахунок субвенції з місцевого бюджету на забезпечення якісної, сучасної та доступної загальної середньої освіти "Нова українська школа" за рахунок відповідної субвенції з державного бюджету)</t>
  </si>
  <si>
    <r>
      <t xml:space="preserve">Придбання дидактичних матеріалів та сучасних меблів для учнів початкових класів (за рахунок субвенції з місцевого бюджету на забезпечення якісної, сучасної та доступної загальної середньої освіти </t>
    </r>
    <r>
      <rPr>
        <b/>
        <sz val="12"/>
        <rFont val="Times New Roman"/>
        <family val="1"/>
        <charset val="204"/>
      </rPr>
      <t>"Нова українська школа" за рахунок відповідної субвенції з державного бюджету</t>
    </r>
    <r>
      <rPr>
        <sz val="12"/>
        <rFont val="Times New Roman"/>
        <family val="1"/>
        <charset val="204"/>
      </rPr>
      <t>)</t>
    </r>
  </si>
  <si>
    <t>капітальні видатки по ЗОШ № 3</t>
  </si>
  <si>
    <t>капітальні видатки по ЗОШ № 7</t>
  </si>
  <si>
    <t>Відновлення елементів благоустрою – капітальний ремонт на території Чорноморської загальноосвітньої школи I-III ступенів № 6 (внутрішній дворик) з улаштуванням тротуарної плитки та дитячих ігрових елементів за адресою: Одеська область, м.Чорноморськ, вул. Спортивна, 3А (за рахунок коштів субвенції з обласного бюджету на виконання інвестиційних проектів)</t>
  </si>
  <si>
    <t>Капітальні видатки (за рахунок субвенції з місцевого бюджету на надання державної підтримки особам з особливими освітніми потребами за рахунок відповідної субвенції з державного бюджету)</t>
  </si>
  <si>
    <t>*</t>
  </si>
  <si>
    <r>
      <t xml:space="preserve">капітальний ремонт </t>
    </r>
    <r>
      <rPr>
        <b/>
        <i/>
        <sz val="14"/>
        <rFont val="Times New Roman"/>
        <family val="1"/>
        <charset val="204"/>
      </rPr>
      <t xml:space="preserve">покрівлі </t>
    </r>
    <r>
      <rPr>
        <i/>
        <sz val="14"/>
        <rFont val="Times New Roman"/>
        <family val="1"/>
        <charset val="204"/>
      </rPr>
      <t>за адресою : м.Чорноморськ, вул.1 Травня, 11 (корпус А)</t>
    </r>
  </si>
  <si>
    <t>Капітальні видатки разом, в т.ч..:</t>
  </si>
  <si>
    <r>
      <t xml:space="preserve">м. Чорноморськ, вул. Данченко, </t>
    </r>
    <r>
      <rPr>
        <i/>
        <sz val="14"/>
        <color rgb="FFFF0000"/>
        <rFont val="Times New Roman"/>
        <family val="1"/>
        <charset val="204"/>
      </rPr>
      <t>4</t>
    </r>
  </si>
  <si>
    <r>
      <t xml:space="preserve">м.Чорноморськ, вул.Данченка, </t>
    </r>
    <r>
      <rPr>
        <i/>
        <sz val="14"/>
        <color rgb="FFFF0000"/>
        <rFont val="Times New Roman"/>
        <family val="1"/>
        <charset val="204"/>
      </rPr>
      <t xml:space="preserve">4 </t>
    </r>
    <r>
      <rPr>
        <i/>
        <sz val="14"/>
        <rFont val="Times New Roman"/>
        <family val="1"/>
        <charset val="204"/>
      </rPr>
      <t>(1-2п.)</t>
    </r>
  </si>
  <si>
    <t>проверка</t>
  </si>
  <si>
    <r>
      <t xml:space="preserve">Капітальний ремонт покриття дитячого майданчику біля житлового будинку по вул. Данченко, 5А, в м.Чорноморськ -  </t>
    </r>
    <r>
      <rPr>
        <b/>
        <i/>
        <sz val="14"/>
        <color theme="1"/>
        <rFont val="Times New Roman"/>
        <family val="1"/>
        <charset val="204"/>
      </rPr>
      <t>за рахунок коштів субвенції з обласного бюджету на виконання інвестиційних проектів</t>
    </r>
  </si>
  <si>
    <r>
      <t xml:space="preserve">Капітальний ремонт покриття дитячого майданчику біля житлового будинку по вул. Паркова, 12, в м.Чорноморськ </t>
    </r>
    <r>
      <rPr>
        <b/>
        <i/>
        <sz val="14"/>
        <color theme="1"/>
        <rFont val="Times New Roman"/>
        <family val="1"/>
        <charset val="204"/>
      </rPr>
      <t>-  за рахунок коштів субвенції з обласного бюджету на виконання інвестиційних проектів</t>
    </r>
  </si>
  <si>
    <r>
      <t xml:space="preserve">Капітальний ремонт покриття дитячого майданчику біля житлового будинку по вул. Паркова, 18, в м.Чорноморськ </t>
    </r>
    <r>
      <rPr>
        <b/>
        <i/>
        <sz val="14"/>
        <color theme="1"/>
        <rFont val="Times New Roman"/>
        <family val="1"/>
        <charset val="204"/>
      </rPr>
      <t>-  за рахунок коштів субвенції з обласного бюджету на виконання інвестиційних проектів</t>
    </r>
  </si>
  <si>
    <t>нет такого адреса</t>
  </si>
  <si>
    <t>с.Малодолинське, вул.Зарічна</t>
  </si>
  <si>
    <r>
      <t>Капітальні видатки</t>
    </r>
    <r>
      <rPr>
        <b/>
        <sz val="14"/>
        <rFont val="Times New Roman"/>
        <family val="1"/>
        <charset val="204"/>
      </rPr>
      <t xml:space="preserve"> за рахунок субвенції з місцевого бюджету на надання державної підтримки особам з особливими освітніми потребами за рахунок відповідної субвенції з державного бюджету</t>
    </r>
  </si>
  <si>
    <r>
      <t xml:space="preserve">Облаштування скверу по вул.Спортивній, 6-6а, м.Чорноморськ - </t>
    </r>
    <r>
      <rPr>
        <b/>
        <sz val="14"/>
        <color theme="1"/>
        <rFont val="Times New Roman"/>
        <family val="1"/>
        <charset val="204"/>
      </rPr>
      <t>за рахунок субвенції з обласного бюджету на виконання інвестиційних проектів</t>
    </r>
  </si>
  <si>
    <r>
      <t xml:space="preserve">Благоустрій прибудинкових територій вул.Олександрійська, 10, 1 Травня, 13 м.Чорноморськ - </t>
    </r>
    <r>
      <rPr>
        <b/>
        <sz val="14"/>
        <color theme="1"/>
        <rFont val="Times New Roman"/>
        <family val="1"/>
        <charset val="204"/>
      </rPr>
      <t>за рахунок субвенції з обласного бюджету на виконання інвестиційних проектів</t>
    </r>
  </si>
  <si>
    <r>
      <t xml:space="preserve">Відновлення елементів благоустрою - улаштування дорожнього покриття місць для паркування автотранспорту напроти багатоповерхового житлового будинку за адресою: м.Чорноморськ, вул.Лазурна, 2 - </t>
    </r>
    <r>
      <rPr>
        <b/>
        <sz val="14"/>
        <color theme="1"/>
        <rFont val="Times New Roman"/>
        <family val="1"/>
        <charset val="204"/>
      </rPr>
      <t>за рахунок субвенції з обласного бюджету на виконання інвестиційних проектів</t>
    </r>
  </si>
  <si>
    <r>
      <t>Капітальний ремонт (благоустрій) прибудинкової території за адресою: м.Чорноморськ, вул.Парусна, 1-Д -</t>
    </r>
    <r>
      <rPr>
        <b/>
        <sz val="14"/>
        <color theme="1"/>
        <rFont val="Times New Roman"/>
        <family val="1"/>
        <charset val="204"/>
      </rPr>
      <t xml:space="preserve"> за рахунок субвенції з обласного бюджету на виконання інвестиційних проектів</t>
    </r>
  </si>
  <si>
    <r>
      <t xml:space="preserve">Капітальний ремонт (благоустрій) прибудинкової території за адресою: м.Чорноморськ, вул.Парусна, 1-М - </t>
    </r>
    <r>
      <rPr>
        <b/>
        <sz val="14"/>
        <color theme="1"/>
        <rFont val="Times New Roman"/>
        <family val="1"/>
        <charset val="204"/>
      </rPr>
      <t>за рахунок субвенції з обласного бюджету на виконання інвестиційних проектів</t>
    </r>
  </si>
  <si>
    <r>
      <t xml:space="preserve">Капітальний ремонт тротуару від вул.Олександрійська, 19 до вул.Парусна, 4-А у м.Чорноморськ - </t>
    </r>
    <r>
      <rPr>
        <b/>
        <sz val="14"/>
        <color theme="1"/>
        <rFont val="Times New Roman"/>
        <family val="1"/>
        <charset val="204"/>
      </rPr>
      <t>за рахунок субвенції з обласного бюджету на виконання інвестиційних проектів</t>
    </r>
  </si>
  <si>
    <t>Реконструкція дошкільного навчального закладу № 17 по вул. Світла, 5 в селищі Олександрівка, м. Чорноморськ, Одеська область</t>
  </si>
  <si>
    <t>Капітальні видатки разом, в т.ч.:</t>
  </si>
  <si>
    <t>Міська програма підтримки і розвитку навчально - матеріальної бази та соціального захисту учнів Державного навчального закладу "Іллічівський професійний судноремонтний ліцей" у м.Чорноморську на 2019 рік (капітальний ремонт покрівлі навчального корпусу)</t>
  </si>
  <si>
    <t>Капітальний ремонт мереж електропостачання житлового будинку за адресою: м.Чорноморськ, вул.Данченка, 3-а</t>
  </si>
  <si>
    <t>Капітальний ремонт шиферної покрівлі за адресою: м.Чорноморськ, проспект Миру, 6</t>
  </si>
  <si>
    <t>Капітальний ремонт шиферної покрівлі за адресою: м.Чорноморськ, вул.Корабельна, 4</t>
  </si>
  <si>
    <t>Капітальний ремонт покрівлі за адресою: м.Чорноморськ, вул.Паркова, 22</t>
  </si>
  <si>
    <t>Капітальний ремонт покрівлі за адресою : м.Чорноморськ, вул.Паркова, 10</t>
  </si>
  <si>
    <t>Капітальний ремонт покрівлі за адресою : м.Чорноморськ, вул.Олександрійська, 20</t>
  </si>
  <si>
    <t>Капітальний ремонт багатоквартирного житлового будинку (відновлення вимощення) за адресою м.Чорноморськ, вул.1 Травня, 15-а</t>
  </si>
  <si>
    <t>Капітальний ремонт покрівлі за адресою: м.Чорноморськ, вул.Олександрійська, 15</t>
  </si>
  <si>
    <t>Капітальний ремонт цокольної частини фасаду, вимощення за адресою: м.Чорноморськ, вул.Спортивна, 3</t>
  </si>
  <si>
    <t>Капітальний ремонт покрівлі за адресою: м.Чорноморськ, вул.1 Травня, 11 (корпус А)</t>
  </si>
  <si>
    <r>
      <t xml:space="preserve">Капітальний ремонт (заміна вікон) у під'їздах та міжповерхових клітинах багатоповерхового будинку за адресою: м.Чорноморськ, проспект Миру, 26 - </t>
    </r>
    <r>
      <rPr>
        <b/>
        <i/>
        <sz val="14"/>
        <color theme="1"/>
        <rFont val="Times New Roman"/>
        <family val="1"/>
        <charset val="204"/>
      </rPr>
      <t>за рахунок субвенції з обласного бюджету на виконання інвестиційних проектів</t>
    </r>
  </si>
  <si>
    <r>
      <t xml:space="preserve">Капітальний ремонт (заміна вікон) у під'зді та міжповерхових клітинах багатоповерхового будинку за адресою: м.Чорноморськ, проспект Миру, 41 (9 під'їзд) - </t>
    </r>
    <r>
      <rPr>
        <b/>
        <i/>
        <sz val="14"/>
        <color theme="1"/>
        <rFont val="Times New Roman"/>
        <family val="1"/>
        <charset val="204"/>
      </rPr>
      <t>за рахунок субвенції з обласного бюджету на виконання інвестиційних проектів</t>
    </r>
  </si>
  <si>
    <r>
      <t xml:space="preserve">Капітальний ремонт (заміна вікон) у під'їздах та міжповерхових клітинах багатоповерхового будинку за адресою: м.Чорноморськ, вул.Данченка, 1 - </t>
    </r>
    <r>
      <rPr>
        <b/>
        <i/>
        <sz val="14"/>
        <color theme="1"/>
        <rFont val="Times New Roman"/>
        <family val="1"/>
        <charset val="204"/>
      </rPr>
      <t>за рахунок субвенції з обласного бюджету на виконання інвестиційних проектів</t>
    </r>
  </si>
  <si>
    <r>
      <t xml:space="preserve">Капітальний ремонт (заміна вікон) у під'їздах та міжповерхових клітинах багатоповерхового будинку за адресою: м.Чорноморськ, вул.Данченка, 1-А - </t>
    </r>
    <r>
      <rPr>
        <b/>
        <i/>
        <sz val="14"/>
        <color theme="1"/>
        <rFont val="Times New Roman"/>
        <family val="1"/>
        <charset val="204"/>
      </rPr>
      <t>за рахунок субвенції з обласного бюджету на виконання інвестиційних проектів</t>
    </r>
  </si>
  <si>
    <r>
      <t xml:space="preserve">Капітальний ремонт (заміна вікон) у під'їздах та міжповерхових клітинах багатоповерхового будинку за адресою: м.Чорноморськ, вул.Віталія Шума, 13 - </t>
    </r>
    <r>
      <rPr>
        <b/>
        <i/>
        <sz val="14"/>
        <color theme="1"/>
        <rFont val="Times New Roman"/>
        <family val="1"/>
        <charset val="204"/>
      </rPr>
      <t>за рахунок субвенції з обласного бюджету на виконання інвестиційних проектів</t>
    </r>
  </si>
  <si>
    <r>
      <t xml:space="preserve">Будівництво дитячого майданчика, за адресою: м.Чорноморськ, вул.Парусна, 1 - </t>
    </r>
    <r>
      <rPr>
        <b/>
        <sz val="14"/>
        <color theme="1"/>
        <rFont val="Times New Roman"/>
        <family val="1"/>
        <charset val="204"/>
      </rPr>
      <t>за рахунок субвенції з обласного бюджету на виконання інвестиційних проектів</t>
    </r>
  </si>
  <si>
    <r>
      <t xml:space="preserve">Капітальний ремонт (заміна вікон) у під'їздах та міжповерхових клітинах багатоповерхового будинку за адресою: м.Чорноморськ, вул.Парусна, 2 - </t>
    </r>
    <r>
      <rPr>
        <b/>
        <i/>
        <sz val="14"/>
        <color theme="1"/>
        <rFont val="Times New Roman"/>
        <family val="1"/>
        <charset val="204"/>
      </rPr>
      <t>за рахунок субвенції з обласного бюджету на виконання інвестиційних проектів</t>
    </r>
  </si>
  <si>
    <r>
      <t xml:space="preserve">Капітальний ремонт (заміна вікон) у під'їздах та міжповерхових клітинах багатоповерхового будинку за адресою: м.Чорноморськ, вул.Спортивна, 5 - </t>
    </r>
    <r>
      <rPr>
        <b/>
        <i/>
        <sz val="14"/>
        <color theme="1"/>
        <rFont val="Times New Roman"/>
        <family val="1"/>
        <charset val="204"/>
      </rPr>
      <t>за рахунок субвенції з обласного бюджету на виконання інвестиційних проектів</t>
    </r>
  </si>
  <si>
    <r>
      <t xml:space="preserve">Будівництво дитячого майданчика, за адресою: м.Чорноморськ, вул.Парусна, 4-А - </t>
    </r>
    <r>
      <rPr>
        <b/>
        <sz val="14"/>
        <color theme="1"/>
        <rFont val="Times New Roman"/>
        <family val="1"/>
        <charset val="204"/>
      </rPr>
      <t>за рахунок субвенції з обласного бюджету на виконання інвестиційних проектів</t>
    </r>
  </si>
  <si>
    <t>м.Чорноморськ, вул.Спортивна, 6</t>
  </si>
  <si>
    <r>
      <t xml:space="preserve">Капітальний ремонт (заміна вікон) у під'їздах та міжповерхових клітинах багатоповерхового будинку за адресою: м.Чорноморськ, проспект Миру, 43 - </t>
    </r>
    <r>
      <rPr>
        <b/>
        <i/>
        <sz val="14"/>
        <color theme="1"/>
        <rFont val="Times New Roman"/>
        <family val="1"/>
        <charset val="204"/>
      </rPr>
      <t>за рахунок субвенції з обласного бюджету на виконання</t>
    </r>
    <r>
      <rPr>
        <i/>
        <sz val="14"/>
        <color theme="1"/>
        <rFont val="Times New Roman"/>
        <family val="1"/>
        <charset val="204"/>
      </rPr>
      <t xml:space="preserve"> </t>
    </r>
    <r>
      <rPr>
        <b/>
        <i/>
        <sz val="14"/>
        <color theme="1"/>
        <rFont val="Times New Roman"/>
        <family val="1"/>
        <charset val="204"/>
      </rPr>
      <t>інвестиційних проектів</t>
    </r>
  </si>
  <si>
    <r>
      <t xml:space="preserve">Капітальний ремонт (заміна вікон) у під'їздах та міжповерхових клітинах багатоповерхового будинку за адресою: м.Чорноморськ, вул.Віталія Шума, 15 - </t>
    </r>
    <r>
      <rPr>
        <b/>
        <i/>
        <sz val="14"/>
        <color theme="1"/>
        <rFont val="Times New Roman"/>
        <family val="1"/>
        <charset val="204"/>
      </rPr>
      <t>за рахунок субвенції з обласного бюджету на виконання інвестиційних проектів</t>
    </r>
  </si>
  <si>
    <r>
      <t xml:space="preserve">Капітальний ремонт (заміна вікон) у під'їздах та міжповерхових клітинах багатоповерхового будинку за адресою: м.Чорноморськ, вул.Олександрійська, 22 - </t>
    </r>
    <r>
      <rPr>
        <b/>
        <i/>
        <sz val="14"/>
        <color theme="1"/>
        <rFont val="Times New Roman"/>
        <family val="1"/>
        <charset val="204"/>
      </rPr>
      <t>за рахунок субвенції з обласного бюджету на виконання інвестиційних проектів</t>
    </r>
  </si>
  <si>
    <r>
      <t xml:space="preserve">Капітальний ремонт (заміна вікон) у під'їздах та міжповерхових клітинах багатоповерхового будинку за адресою: м.Чорноморськ, вул.1-го Травня, 2А - </t>
    </r>
    <r>
      <rPr>
        <b/>
        <i/>
        <sz val="14"/>
        <color theme="1"/>
        <rFont val="Times New Roman"/>
        <family val="1"/>
        <charset val="204"/>
      </rPr>
      <t>за рахунок субвенції з обласного бюджету на виконання інвестиційних проектів</t>
    </r>
  </si>
  <si>
    <r>
      <t xml:space="preserve">Капітальний ремонт (заміна вікон) у під'їздах та міжповерхових клітинах багатоповерхового будинку за адресою: м.Чорноморськ, вул.Данченка, 3В - </t>
    </r>
    <r>
      <rPr>
        <b/>
        <i/>
        <sz val="14"/>
        <color theme="1"/>
        <rFont val="Times New Roman"/>
        <family val="1"/>
        <charset val="204"/>
      </rPr>
      <t>за рахунок субвенції з обласного бюджету на виконання інвестиційних проектів</t>
    </r>
  </si>
  <si>
    <r>
      <t xml:space="preserve">Капітальний ремонт (заміна вікон) у під'їздах та міжповерхових клітинах багатоповерхового будинку за адресою: м.Чорноморськ, проспект Миру, 15А - </t>
    </r>
    <r>
      <rPr>
        <b/>
        <i/>
        <sz val="14"/>
        <color theme="1"/>
        <rFont val="Times New Roman"/>
        <family val="1"/>
        <charset val="204"/>
      </rPr>
      <t>за рахунок субвенції з обласного бюджету на виконання інвестиційних проектів</t>
    </r>
  </si>
  <si>
    <r>
      <t xml:space="preserve">Капітальний ремонт (заміна вікон) у під'їздах та міжповерхових клітинах багатоповерхового будинку по вулиці Парусна, буд.7, у м.Чорноморськ Одеської області - </t>
    </r>
    <r>
      <rPr>
        <b/>
        <i/>
        <sz val="14"/>
        <color theme="1"/>
        <rFont val="Times New Roman"/>
        <family val="1"/>
        <charset val="204"/>
      </rPr>
      <t>за рахунок субвенції з обласного бюджету на виконання інвестиційних проектів</t>
    </r>
  </si>
  <si>
    <t>Капітальний ремонт (заміна вікон) у під`їздах та міжповерхових клітинах  багатоповерхових житлових будинків разом, в т.ч. за адресою :</t>
  </si>
  <si>
    <r>
      <t xml:space="preserve">Капітальний ремонт (заміна вікон) у під'їзді та міжповерхових клітинах багатоповерхового будинку за адресою:  м.Чорноморськ, вул.Парусна, буд.16 (7 під'їзд) - </t>
    </r>
    <r>
      <rPr>
        <b/>
        <i/>
        <sz val="14"/>
        <color theme="1"/>
        <rFont val="Times New Roman"/>
        <family val="1"/>
        <charset val="204"/>
      </rPr>
      <t>за рахунок субвенції з обласного бюджету на виконання інвестиційних проектів</t>
    </r>
  </si>
  <si>
    <r>
      <t xml:space="preserve">Капітальний ремонт (заміна вікон) у під'їздах та міжповерхових клітинах багатоповерхового будинку по вулиці Паркова, буд.10, у м.Чорноморськ Одеської області - </t>
    </r>
    <r>
      <rPr>
        <b/>
        <i/>
        <sz val="14"/>
        <color theme="1"/>
        <rFont val="Times New Roman"/>
        <family val="1"/>
        <charset val="204"/>
      </rPr>
      <t>за рахунок субвенції з обласного бюджету на виконання інвестиційних проектів</t>
    </r>
  </si>
  <si>
    <r>
      <t xml:space="preserve">Капітальний ремонт (заміна вікон) у під'їздах та міжповерхових клітинах багатоповерхового будинку за адресою: м.Чорноморськ, вул.Паркова, 18 - </t>
    </r>
    <r>
      <rPr>
        <b/>
        <i/>
        <sz val="14"/>
        <color theme="1"/>
        <rFont val="Times New Roman"/>
        <family val="1"/>
        <charset val="204"/>
      </rPr>
      <t>за рахунок субвенції з обласного бюджету на виконання інвестиційних проектів</t>
    </r>
  </si>
  <si>
    <t>Капітальний ремонт (заміна вікон) у під'їздах та міжповерхових клітинах багатоповерхового будинку за адресою: м.Чорноморськ, вул.Паркова, 4</t>
  </si>
  <si>
    <t>Капітальний ремонт (заміна вікон) у під'їзді та міжповерховій клітині двоповерхового будинку за адресою: м.Чорноморськ, вул.Корабельна, 12</t>
  </si>
  <si>
    <t>Капітальний ремонт багатоквартирного житлового будинку (відновлення вхідних груп, підходів до під'їздів) за адресою м.Чорноморськ, вул.1 Травня, 11</t>
  </si>
  <si>
    <t>Капітальний ремонт покрівлі за адресою : м.Чорноморськ, вул.1 Травня, 11 (корпус А)</t>
  </si>
  <si>
    <t>Капітальний ремонт благоустрою - улаштування автобусної зупинки, розташованої за адресою м.Чорноморськ, с.Олександрівка, вул.Центральна, 28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</si>
  <si>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</si>
  <si>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0213192</t>
  </si>
  <si>
    <t>Міська програма підтримки громадських об'єднань ветеранів міста Чорноморська на 2019 рік</t>
  </si>
  <si>
    <r>
      <t xml:space="preserve">Придбання медичного обладнання для комунального некомерційного підприємства "Чорноморська лікарня" Чорноморської міської ради у місті Чорноморськ Одеської області </t>
    </r>
    <r>
      <rPr>
        <b/>
        <sz val="14"/>
        <rFont val="Times New Roman"/>
        <family val="1"/>
        <charset val="204"/>
      </rPr>
      <t>(за рахунок субвенції з державного бюджету місцевим бюджетам на здійснення заходів соціально - економічного розвитку окремих територій)</t>
    </r>
  </si>
  <si>
    <r>
      <t xml:space="preserve">Капітальний ремонт мереж електропостачання житлового будинку по вул. Паркова, 6 у місті Чорноморськ Одеської області </t>
    </r>
    <r>
      <rPr>
        <b/>
        <i/>
        <sz val="14"/>
        <rFont val="Times New Roman"/>
        <family val="1"/>
        <charset val="204"/>
      </rPr>
      <t>(за рахунок субвенції з державного бюджету місцевим бюджетам на здійснення заходів соціально - економічного розвитку окремих територій)</t>
    </r>
  </si>
  <si>
    <t>Дослідження і розробки, окремі заходи по реалізації державних (регіональних) програм</t>
  </si>
  <si>
    <t>Видатки, віднесені до резерву</t>
  </si>
  <si>
    <r>
      <t xml:space="preserve">Капітальний ремонт житлового фонду (ремонт вхідної групи житлового багатоквартирного будинку) по вулиці Паркова, буд.2, у м.Чорноморськ Одеської області - </t>
    </r>
    <r>
      <rPr>
        <b/>
        <i/>
        <sz val="14"/>
        <rFont val="Times New Roman"/>
        <family val="1"/>
        <charset val="204"/>
      </rPr>
      <t>за рахунок субвенції з обласного бюджету на виконання інвестиційних проектів</t>
    </r>
  </si>
  <si>
    <r>
      <t xml:space="preserve">Капітальний ремонт житлового фонду (ремонт вхідних груп у 2-х парадних  житлового багатоквартирного будинку)  за адресою: Одеська область, м.Чорноморськ, проспект Миру, 15А - </t>
    </r>
    <r>
      <rPr>
        <b/>
        <i/>
        <sz val="14"/>
        <rFont val="Times New Roman"/>
        <family val="1"/>
        <charset val="204"/>
      </rPr>
      <t>за рахунок субвенції з обласного бюджету на виконання інвестиційних проектів</t>
    </r>
  </si>
  <si>
    <r>
      <t xml:space="preserve">Капітальний ремонт (заміна вікон) у під'їздах та міжповерхових клітинах багатоповерхового будинку за адресою: м.Чорноморськ, вул.Парусна, 14 - </t>
    </r>
    <r>
      <rPr>
        <b/>
        <i/>
        <sz val="14"/>
        <color theme="1"/>
        <rFont val="Times New Roman"/>
        <family val="1"/>
        <charset val="204"/>
      </rPr>
      <t>за рахунок субвенції з обласного бюджету на виконання інвестиційних проектів</t>
    </r>
  </si>
  <si>
    <t>Санітарно-технічний тампонаж свердловини №9312 на будівництво (буріння) нової артезіанської свердловини за адресою: вул.Праці, 17 в м.Чорноморськ Одеської області</t>
  </si>
  <si>
    <t>Капітальний ремонт павільону бювета за адресою: вул.Праці, 17 в м.Чорноморськ Одеської області</t>
  </si>
  <si>
    <t>Придбання навісного обладнання</t>
  </si>
  <si>
    <t>Керуюча справами</t>
  </si>
  <si>
    <t>Н.В.Кушніренко</t>
  </si>
  <si>
    <t>Чорноморської міської ради</t>
  </si>
  <si>
    <t xml:space="preserve">до рішення виконавчого комітету </t>
  </si>
  <si>
    <t>Додаток 4</t>
  </si>
  <si>
    <t xml:space="preserve">від                     2019  р.  №      </t>
  </si>
  <si>
    <t>Відновлення елементів благоустрою - капітальний ремонт з улаштуванням елементів спортивного майданчику для людей з особливими потребами за адресою: м.Чорноморськ, вул.Парусна, 10</t>
  </si>
</sst>
</file>

<file path=xl/styles.xml><?xml version="1.0" encoding="utf-8"?>
<styleSheet xmlns="http://schemas.openxmlformats.org/spreadsheetml/2006/main">
  <numFmts count="3">
    <numFmt numFmtId="164" formatCode="#,##0.00000"/>
    <numFmt numFmtId="165" formatCode="0.0%"/>
    <numFmt numFmtId="166" formatCode="#,##0.000"/>
  </numFmts>
  <fonts count="24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6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3"/>
      <color rgb="FF0000FF"/>
      <name val="Times New Roman"/>
      <family val="1"/>
    </font>
    <font>
      <i/>
      <sz val="14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8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4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9">
    <xf numFmtId="0" fontId="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7" fillId="0" borderId="0"/>
    <xf numFmtId="0" fontId="1" fillId="0" borderId="0"/>
  </cellStyleXfs>
  <cellXfs count="328">
    <xf numFmtId="0" fontId="0" fillId="0" borderId="0" xfId="0"/>
    <xf numFmtId="0" fontId="3" fillId="2" borderId="0" xfId="0" applyFont="1" applyFill="1"/>
    <xf numFmtId="0" fontId="9" fillId="2" borderId="0" xfId="0" applyFont="1" applyFill="1" applyAlignment="1"/>
    <xf numFmtId="0" fontId="5" fillId="2" borderId="0" xfId="0" applyFont="1" applyFill="1" applyAlignment="1">
      <alignment horizontal="center"/>
    </xf>
    <xf numFmtId="0" fontId="5" fillId="2" borderId="0" xfId="0" applyFont="1" applyFill="1"/>
    <xf numFmtId="49" fontId="2" fillId="2" borderId="1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wrapText="1"/>
    </xf>
    <xf numFmtId="0" fontId="3" fillId="2" borderId="0" xfId="0" applyFont="1" applyFill="1" applyAlignment="1">
      <alignment wrapText="1"/>
    </xf>
    <xf numFmtId="49" fontId="10" fillId="2" borderId="1" xfId="0" applyNumberFormat="1" applyFont="1" applyFill="1" applyBorder="1" applyAlignment="1">
      <alignment horizontal="center"/>
    </xf>
    <xf numFmtId="0" fontId="2" fillId="2" borderId="0" xfId="0" applyFont="1" applyFill="1"/>
    <xf numFmtId="0" fontId="3" fillId="2" borderId="1" xfId="0" applyFont="1" applyFill="1" applyBorder="1" applyAlignment="1">
      <alignment horizontal="left" wrapText="1"/>
    </xf>
    <xf numFmtId="0" fontId="3" fillId="2" borderId="2" xfId="0" applyFont="1" applyFill="1" applyBorder="1" applyAlignment="1">
      <alignment horizontal="left" wrapText="1"/>
    </xf>
    <xf numFmtId="0" fontId="2" fillId="2" borderId="1" xfId="0" applyFont="1" applyFill="1" applyBorder="1" applyAlignment="1"/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/>
    <xf numFmtId="0" fontId="3" fillId="2" borderId="0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/>
    <xf numFmtId="0" fontId="2" fillId="2" borderId="0" xfId="0" applyFont="1" applyFill="1" applyAlignment="1">
      <alignment horizontal="left"/>
    </xf>
    <xf numFmtId="0" fontId="9" fillId="2" borderId="0" xfId="0" applyFont="1" applyFill="1" applyAlignment="1">
      <alignment horizontal="left" vertical="center"/>
    </xf>
    <xf numFmtId="0" fontId="3" fillId="2" borderId="1" xfId="6" applyFont="1" applyFill="1" applyBorder="1" applyAlignment="1">
      <alignment horizontal="left" wrapText="1"/>
    </xf>
    <xf numFmtId="0" fontId="3" fillId="2" borderId="3" xfId="6" applyFont="1" applyFill="1" applyBorder="1" applyAlignment="1">
      <alignment horizontal="left" wrapText="1"/>
    </xf>
    <xf numFmtId="0" fontId="3" fillId="2" borderId="1" xfId="5" applyFont="1" applyFill="1" applyBorder="1" applyAlignment="1">
      <alignment wrapText="1"/>
    </xf>
    <xf numFmtId="49" fontId="4" fillId="2" borderId="1" xfId="0" applyNumberFormat="1" applyFont="1" applyFill="1" applyBorder="1" applyAlignment="1">
      <alignment horizontal="center"/>
    </xf>
    <xf numFmtId="164" fontId="3" fillId="2" borderId="0" xfId="0" applyNumberFormat="1" applyFont="1" applyFill="1"/>
    <xf numFmtId="0" fontId="2" fillId="2" borderId="1" xfId="6" applyFont="1" applyFill="1" applyBorder="1" applyAlignment="1">
      <alignment horizontal="left" wrapText="1"/>
    </xf>
    <xf numFmtId="0" fontId="2" fillId="2" borderId="1" xfId="7" applyFont="1" applyFill="1" applyBorder="1" applyAlignment="1">
      <alignment horizontal="left" wrapText="1"/>
    </xf>
    <xf numFmtId="0" fontId="11" fillId="2" borderId="0" xfId="0" applyFont="1" applyFill="1" applyAlignment="1">
      <alignment horizontal="left"/>
    </xf>
    <xf numFmtId="49" fontId="3" fillId="2" borderId="2" xfId="0" applyNumberFormat="1" applyFont="1" applyFill="1" applyBorder="1" applyAlignment="1">
      <alignment horizontal="center"/>
    </xf>
    <xf numFmtId="9" fontId="2" fillId="2" borderId="1" xfId="0" applyNumberFormat="1" applyFont="1" applyFill="1" applyBorder="1" applyAlignment="1">
      <alignment horizontal="center" wrapText="1"/>
    </xf>
    <xf numFmtId="9" fontId="3" fillId="2" borderId="1" xfId="0" applyNumberFormat="1" applyFont="1" applyFill="1" applyBorder="1" applyAlignment="1">
      <alignment horizontal="center" wrapText="1"/>
    </xf>
    <xf numFmtId="9" fontId="2" fillId="2" borderId="1" xfId="6" applyNumberFormat="1" applyFont="1" applyFill="1" applyBorder="1" applyAlignment="1">
      <alignment horizontal="center" wrapText="1"/>
    </xf>
    <xf numFmtId="9" fontId="3" fillId="2" borderId="1" xfId="6" applyNumberFormat="1" applyFont="1" applyFill="1" applyBorder="1" applyAlignment="1">
      <alignment horizontal="center" wrapText="1"/>
    </xf>
    <xf numFmtId="9" fontId="4" fillId="2" borderId="1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left"/>
    </xf>
    <xf numFmtId="0" fontId="3" fillId="2" borderId="7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wrapText="1"/>
    </xf>
    <xf numFmtId="3" fontId="10" fillId="2" borderId="1" xfId="0" applyNumberFormat="1" applyFont="1" applyFill="1" applyBorder="1" applyAlignment="1">
      <alignment horizontal="center"/>
    </xf>
    <xf numFmtId="9" fontId="12" fillId="2" borderId="1" xfId="6" applyNumberFormat="1" applyFont="1" applyFill="1" applyBorder="1" applyAlignment="1">
      <alignment horizontal="center" wrapText="1"/>
    </xf>
    <xf numFmtId="0" fontId="12" fillId="2" borderId="1" xfId="5" applyFont="1" applyFill="1" applyBorder="1" applyAlignment="1">
      <alignment wrapText="1"/>
    </xf>
    <xf numFmtId="0" fontId="12" fillId="2" borderId="1" xfId="6" applyFont="1" applyFill="1" applyBorder="1" applyAlignment="1">
      <alignment horizontal="left" wrapText="1"/>
    </xf>
    <xf numFmtId="0" fontId="12" fillId="2" borderId="0" xfId="0" applyFont="1" applyFill="1"/>
    <xf numFmtId="0" fontId="12" fillId="2" borderId="1" xfId="0" applyFont="1" applyFill="1" applyBorder="1" applyAlignment="1">
      <alignment horizontal="left" vertical="center" wrapText="1"/>
    </xf>
    <xf numFmtId="0" fontId="12" fillId="2" borderId="3" xfId="0" applyFont="1" applyFill="1" applyBorder="1" applyAlignment="1">
      <alignment horizontal="left" wrapText="1"/>
    </xf>
    <xf numFmtId="9" fontId="13" fillId="2" borderId="1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left" vertical="center" wrapText="1"/>
    </xf>
    <xf numFmtId="0" fontId="15" fillId="2" borderId="0" xfId="0" applyFont="1" applyFill="1" applyAlignment="1">
      <alignment horizontal="right"/>
    </xf>
    <xf numFmtId="4" fontId="4" fillId="2" borderId="1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left" wrapText="1"/>
    </xf>
    <xf numFmtId="164" fontId="3" fillId="2" borderId="1" xfId="6" applyNumberFormat="1" applyFont="1" applyFill="1" applyBorder="1" applyAlignment="1">
      <alignment horizontal="center" wrapText="1"/>
    </xf>
    <xf numFmtId="166" fontId="3" fillId="2" borderId="1" xfId="6" applyNumberFormat="1" applyFont="1" applyFill="1" applyBorder="1" applyAlignment="1">
      <alignment horizontal="center" wrapText="1"/>
    </xf>
    <xf numFmtId="4" fontId="3" fillId="2" borderId="1" xfId="6" applyNumberFormat="1" applyFont="1" applyFill="1" applyBorder="1" applyAlignment="1">
      <alignment horizontal="center" wrapText="1"/>
    </xf>
    <xf numFmtId="4" fontId="2" fillId="2" borderId="1" xfId="0" applyNumberFormat="1" applyFont="1" applyFill="1" applyBorder="1" applyAlignment="1">
      <alignment horizontal="center" wrapText="1"/>
    </xf>
    <xf numFmtId="4" fontId="2" fillId="2" borderId="1" xfId="6" applyNumberFormat="1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wrapText="1"/>
    </xf>
    <xf numFmtId="4" fontId="12" fillId="2" borderId="1" xfId="6" applyNumberFormat="1" applyFont="1" applyFill="1" applyBorder="1" applyAlignment="1">
      <alignment horizontal="center" wrapText="1"/>
    </xf>
    <xf numFmtId="4" fontId="10" fillId="2" borderId="1" xfId="0" applyNumberFormat="1" applyFont="1" applyFill="1" applyBorder="1" applyAlignment="1">
      <alignment horizontal="center"/>
    </xf>
    <xf numFmtId="4" fontId="13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4" fontId="2" fillId="2" borderId="1" xfId="0" applyNumberFormat="1" applyFont="1" applyFill="1" applyBorder="1" applyAlignment="1">
      <alignment horizontal="center"/>
    </xf>
    <xf numFmtId="4" fontId="16" fillId="2" borderId="1" xfId="0" applyNumberFormat="1" applyFont="1" applyFill="1" applyBorder="1" applyAlignment="1">
      <alignment wrapText="1"/>
    </xf>
    <xf numFmtId="0" fontId="3" fillId="2" borderId="2" xfId="0" applyFont="1" applyFill="1" applyBorder="1" applyAlignment="1">
      <alignment vertical="center" wrapText="1"/>
    </xf>
    <xf numFmtId="4" fontId="18" fillId="2" borderId="1" xfId="0" applyNumberFormat="1" applyFont="1" applyFill="1" applyBorder="1" applyAlignment="1">
      <alignment wrapText="1"/>
    </xf>
    <xf numFmtId="4" fontId="18" fillId="2" borderId="2" xfId="0" applyNumberFormat="1" applyFont="1" applyFill="1" applyBorder="1" applyAlignment="1">
      <alignment wrapText="1"/>
    </xf>
    <xf numFmtId="49" fontId="3" fillId="2" borderId="1" xfId="0" applyNumberFormat="1" applyFont="1" applyFill="1" applyBorder="1" applyAlignment="1">
      <alignment horizontal="center" vertical="center"/>
    </xf>
    <xf numFmtId="0" fontId="2" fillId="2" borderId="3" xfId="6" applyFont="1" applyFill="1" applyBorder="1" applyAlignment="1">
      <alignment horizontal="left" wrapText="1"/>
    </xf>
    <xf numFmtId="4" fontId="12" fillId="2" borderId="1" xfId="5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3" fillId="2" borderId="6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/>
    </xf>
    <xf numFmtId="0" fontId="2" fillId="2" borderId="5" xfId="5" applyFont="1" applyFill="1" applyBorder="1" applyAlignment="1">
      <alignment horizontal="center" wrapText="1"/>
    </xf>
    <xf numFmtId="49" fontId="3" fillId="2" borderId="2" xfId="0" applyNumberFormat="1" applyFont="1" applyFill="1" applyBorder="1" applyAlignment="1">
      <alignment horizontal="center" vertical="center"/>
    </xf>
    <xf numFmtId="49" fontId="3" fillId="2" borderId="6" xfId="0" applyNumberFormat="1" applyFont="1" applyFill="1" applyBorder="1" applyAlignment="1">
      <alignment horizontal="center" vertical="center"/>
    </xf>
    <xf numFmtId="165" fontId="3" fillId="2" borderId="1" xfId="7" applyNumberFormat="1" applyFont="1" applyFill="1" applyBorder="1" applyAlignment="1">
      <alignment horizontal="center" wrapText="1"/>
    </xf>
    <xf numFmtId="3" fontId="2" fillId="2" borderId="1" xfId="0" applyNumberFormat="1" applyFont="1" applyFill="1" applyBorder="1" applyAlignment="1">
      <alignment horizontal="center" wrapText="1"/>
    </xf>
    <xf numFmtId="3" fontId="3" fillId="2" borderId="1" xfId="6" applyNumberFormat="1" applyFont="1" applyFill="1" applyBorder="1" applyAlignment="1">
      <alignment horizontal="center" wrapText="1"/>
    </xf>
    <xf numFmtId="3" fontId="3" fillId="2" borderId="1" xfId="0" applyNumberFormat="1" applyFont="1" applyFill="1" applyBorder="1" applyAlignment="1">
      <alignment horizontal="center" wrapText="1"/>
    </xf>
    <xf numFmtId="0" fontId="3" fillId="2" borderId="5" xfId="6" applyFont="1" applyFill="1" applyBorder="1" applyAlignment="1">
      <alignment horizontal="left" wrapText="1"/>
    </xf>
    <xf numFmtId="3" fontId="2" fillId="2" borderId="1" xfId="6" applyNumberFormat="1" applyFont="1" applyFill="1" applyBorder="1" applyAlignment="1">
      <alignment horizontal="center" wrapText="1"/>
    </xf>
    <xf numFmtId="0" fontId="3" fillId="2" borderId="1" xfId="6" applyFont="1" applyFill="1" applyBorder="1" applyAlignment="1">
      <alignment horizontal="left" vertical="center" wrapText="1"/>
    </xf>
    <xf numFmtId="0" fontId="12" fillId="2" borderId="1" xfId="6" applyFont="1" applyFill="1" applyBorder="1" applyAlignment="1">
      <alignment horizontal="left" vertical="center" wrapText="1"/>
    </xf>
    <xf numFmtId="3" fontId="12" fillId="2" borderId="1" xfId="6" applyNumberFormat="1" applyFont="1" applyFill="1" applyBorder="1" applyAlignment="1">
      <alignment horizontal="center" wrapText="1"/>
    </xf>
    <xf numFmtId="3" fontId="12" fillId="2" borderId="1" xfId="0" applyNumberFormat="1" applyFont="1" applyFill="1" applyBorder="1" applyAlignment="1">
      <alignment horizontal="center" wrapText="1"/>
    </xf>
    <xf numFmtId="9" fontId="12" fillId="2" borderId="1" xfId="0" applyNumberFormat="1" applyFont="1" applyFill="1" applyBorder="1" applyAlignment="1">
      <alignment horizontal="center" wrapText="1"/>
    </xf>
    <xf numFmtId="0" fontId="3" fillId="2" borderId="2" xfId="2" applyFont="1" applyFill="1" applyBorder="1" applyAlignment="1">
      <alignment horizontal="left" vertical="center" wrapText="1"/>
    </xf>
    <xf numFmtId="3" fontId="3" fillId="2" borderId="1" xfId="0" applyNumberFormat="1" applyFont="1" applyFill="1" applyBorder="1" applyAlignment="1">
      <alignment horizontal="center"/>
    </xf>
    <xf numFmtId="0" fontId="3" fillId="2" borderId="1" xfId="6" applyFont="1" applyFill="1" applyBorder="1" applyAlignment="1">
      <alignment horizontal="left" wrapText="1" shrinkToFit="1"/>
    </xf>
    <xf numFmtId="0" fontId="12" fillId="2" borderId="1" xfId="6" applyFont="1" applyFill="1" applyBorder="1" applyAlignment="1">
      <alignment horizontal="left" wrapText="1" shrinkToFit="1"/>
    </xf>
    <xf numFmtId="0" fontId="12" fillId="2" borderId="3" xfId="6" applyFont="1" applyFill="1" applyBorder="1" applyAlignment="1">
      <alignment horizontal="left" wrapText="1"/>
    </xf>
    <xf numFmtId="0" fontId="12" fillId="2" borderId="3" xfId="0" applyFont="1" applyFill="1" applyBorder="1" applyAlignment="1">
      <alignment horizontal="left" vertical="center" wrapText="1"/>
    </xf>
    <xf numFmtId="3" fontId="4" fillId="2" borderId="1" xfId="0" applyNumberFormat="1" applyFont="1" applyFill="1" applyBorder="1" applyAlignment="1">
      <alignment horizontal="center"/>
    </xf>
    <xf numFmtId="3" fontId="13" fillId="2" borderId="1" xfId="0" applyNumberFormat="1" applyFont="1" applyFill="1" applyBorder="1" applyAlignment="1">
      <alignment horizontal="center"/>
    </xf>
    <xf numFmtId="0" fontId="3" fillId="2" borderId="1" xfId="7" applyFont="1" applyFill="1" applyBorder="1" applyAlignment="1">
      <alignment horizontal="left" wrapText="1"/>
    </xf>
    <xf numFmtId="0" fontId="3" fillId="2" borderId="1" xfId="7" applyFont="1" applyFill="1" applyBorder="1" applyAlignment="1">
      <alignment horizontal="left" vertical="center" wrapText="1"/>
    </xf>
    <xf numFmtId="3" fontId="3" fillId="2" borderId="1" xfId="7" applyNumberFormat="1" applyFont="1" applyFill="1" applyBorder="1" applyAlignment="1">
      <alignment horizontal="center" wrapText="1"/>
    </xf>
    <xf numFmtId="165" fontId="3" fillId="0" borderId="1" xfId="7" applyNumberFormat="1" applyFont="1" applyFill="1" applyBorder="1" applyAlignment="1">
      <alignment horizontal="center" wrapText="1"/>
    </xf>
    <xf numFmtId="3" fontId="3" fillId="2" borderId="1" xfId="7" applyNumberFormat="1" applyFont="1" applyFill="1" applyBorder="1" applyAlignment="1">
      <alignment horizontal="center"/>
    </xf>
    <xf numFmtId="9" fontId="3" fillId="2" borderId="1" xfId="7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49" fontId="12" fillId="2" borderId="1" xfId="0" applyNumberFormat="1" applyFont="1" applyFill="1" applyBorder="1" applyAlignment="1">
      <alignment horizontal="center"/>
    </xf>
    <xf numFmtId="49" fontId="13" fillId="2" borderId="1" xfId="0" applyNumberFormat="1" applyFont="1" applyFill="1" applyBorder="1" applyAlignment="1">
      <alignment horizontal="center"/>
    </xf>
    <xf numFmtId="3" fontId="12" fillId="2" borderId="1" xfId="0" applyNumberFormat="1" applyFont="1" applyFill="1" applyBorder="1" applyAlignment="1">
      <alignment horizontal="center"/>
    </xf>
    <xf numFmtId="9" fontId="12" fillId="2" borderId="1" xfId="7" applyNumberFormat="1" applyFont="1" applyFill="1" applyBorder="1" applyAlignment="1">
      <alignment horizontal="center" wrapText="1"/>
    </xf>
    <xf numFmtId="0" fontId="20" fillId="2" borderId="1" xfId="6" applyFont="1" applyFill="1" applyBorder="1" applyAlignment="1">
      <alignment horizontal="left" wrapText="1"/>
    </xf>
    <xf numFmtId="3" fontId="20" fillId="2" borderId="1" xfId="0" applyNumberFormat="1" applyFont="1" applyFill="1" applyBorder="1" applyAlignment="1">
      <alignment horizontal="center" wrapText="1"/>
    </xf>
    <xf numFmtId="0" fontId="20" fillId="2" borderId="0" xfId="0" applyFont="1" applyFill="1"/>
    <xf numFmtId="0" fontId="3" fillId="2" borderId="6" xfId="0" applyFont="1" applyFill="1" applyBorder="1" applyAlignment="1">
      <alignment horizontal="center" wrapText="1"/>
    </xf>
    <xf numFmtId="3" fontId="2" fillId="2" borderId="1" xfId="0" applyNumberFormat="1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left" wrapText="1"/>
    </xf>
    <xf numFmtId="0" fontId="3" fillId="2" borderId="5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left" wrapText="1"/>
    </xf>
    <xf numFmtId="0" fontId="18" fillId="0" borderId="1" xfId="8" applyFont="1" applyBorder="1" applyAlignment="1">
      <alignment wrapText="1"/>
    </xf>
    <xf numFmtId="3" fontId="18" fillId="0" borderId="1" xfId="8" applyNumberFormat="1" applyFont="1" applyBorder="1" applyAlignment="1">
      <alignment horizontal="center"/>
    </xf>
    <xf numFmtId="0" fontId="12" fillId="2" borderId="8" xfId="0" applyFont="1" applyFill="1" applyBorder="1" applyAlignment="1">
      <alignment horizontal="left" wrapText="1"/>
    </xf>
    <xf numFmtId="0" fontId="16" fillId="0" borderId="1" xfId="8" applyFont="1" applyBorder="1" applyAlignment="1">
      <alignment wrapText="1"/>
    </xf>
    <xf numFmtId="0" fontId="3" fillId="2" borderId="8" xfId="0" applyFont="1" applyFill="1" applyBorder="1" applyAlignment="1">
      <alignment horizontal="left" wrapText="1"/>
    </xf>
    <xf numFmtId="166" fontId="2" fillId="2" borderId="3" xfId="6" applyNumberFormat="1" applyFont="1" applyFill="1" applyBorder="1" applyAlignment="1">
      <alignment horizontal="center" wrapText="1"/>
    </xf>
    <xf numFmtId="0" fontId="3" fillId="2" borderId="0" xfId="0" applyFont="1" applyFill="1" applyAlignment="1">
      <alignment horizontal="center"/>
    </xf>
    <xf numFmtId="4" fontId="18" fillId="2" borderId="3" xfId="0" applyNumberFormat="1" applyFont="1" applyFill="1" applyBorder="1" applyAlignment="1">
      <alignment wrapText="1"/>
    </xf>
    <xf numFmtId="4" fontId="19" fillId="2" borderId="1" xfId="0" applyNumberFormat="1" applyFont="1" applyFill="1" applyBorder="1" applyAlignment="1">
      <alignment wrapText="1"/>
    </xf>
    <xf numFmtId="0" fontId="2" fillId="2" borderId="1" xfId="0" applyFont="1" applyFill="1" applyBorder="1" applyAlignment="1">
      <alignment horizontal="left" wrapText="1"/>
    </xf>
    <xf numFmtId="0" fontId="2" fillId="2" borderId="5" xfId="0" applyFont="1" applyFill="1" applyBorder="1" applyAlignment="1">
      <alignment horizontal="center" wrapText="1"/>
    </xf>
    <xf numFmtId="49" fontId="3" fillId="2" borderId="6" xfId="0" applyNumberFormat="1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wrapText="1"/>
    </xf>
    <xf numFmtId="0" fontId="12" fillId="2" borderId="1" xfId="0" applyFont="1" applyFill="1" applyBorder="1" applyAlignment="1">
      <alignment horizontal="left" vertical="center"/>
    </xf>
    <xf numFmtId="4" fontId="12" fillId="2" borderId="1" xfId="0" applyNumberFormat="1" applyFont="1" applyFill="1" applyBorder="1" applyAlignment="1">
      <alignment horizontal="center"/>
    </xf>
    <xf numFmtId="4" fontId="12" fillId="2" borderId="2" xfId="0" applyNumberFormat="1" applyFont="1" applyFill="1" applyBorder="1" applyAlignment="1">
      <alignment horizontal="center"/>
    </xf>
    <xf numFmtId="4" fontId="12" fillId="2" borderId="1" xfId="0" applyNumberFormat="1" applyFont="1" applyFill="1" applyBorder="1" applyAlignment="1">
      <alignment horizontal="center" vertical="center"/>
    </xf>
    <xf numFmtId="0" fontId="12" fillId="2" borderId="2" xfId="6" applyFont="1" applyFill="1" applyBorder="1" applyAlignment="1">
      <alignment horizontal="left" wrapText="1" shrinkToFit="1"/>
    </xf>
    <xf numFmtId="0" fontId="12" fillId="2" borderId="2" xfId="6" applyFont="1" applyFill="1" applyBorder="1" applyAlignment="1">
      <alignment horizontal="left" wrapText="1"/>
    </xf>
    <xf numFmtId="4" fontId="3" fillId="2" borderId="0" xfId="0" applyNumberFormat="1" applyFont="1" applyFill="1"/>
    <xf numFmtId="0" fontId="3" fillId="2" borderId="1" xfId="2" applyFont="1" applyFill="1" applyBorder="1" applyAlignment="1">
      <alignment horizontal="left" vertical="center" wrapText="1"/>
    </xf>
    <xf numFmtId="49" fontId="3" fillId="2" borderId="2" xfId="0" applyNumberFormat="1" applyFont="1" applyFill="1" applyBorder="1" applyAlignment="1">
      <alignment horizontal="center" vertical="center"/>
    </xf>
    <xf numFmtId="0" fontId="3" fillId="2" borderId="4" xfId="2" applyFont="1" applyFill="1" applyBorder="1" applyAlignment="1">
      <alignment horizontal="left" vertical="center" wrapText="1"/>
    </xf>
    <xf numFmtId="0" fontId="3" fillId="2" borderId="2" xfId="2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left" vertical="center" wrapText="1"/>
    </xf>
    <xf numFmtId="0" fontId="18" fillId="2" borderId="1" xfId="8" applyFont="1" applyFill="1" applyBorder="1" applyAlignment="1">
      <alignment wrapText="1"/>
    </xf>
    <xf numFmtId="3" fontId="18" fillId="2" borderId="1" xfId="8" applyNumberFormat="1" applyFont="1" applyFill="1" applyBorder="1" applyAlignment="1">
      <alignment horizontal="center"/>
    </xf>
    <xf numFmtId="165" fontId="12" fillId="2" borderId="1" xfId="7" applyNumberFormat="1" applyFont="1" applyFill="1" applyBorder="1" applyAlignment="1">
      <alignment horizontal="center" wrapText="1"/>
    </xf>
    <xf numFmtId="0" fontId="3" fillId="2" borderId="5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wrapText="1"/>
    </xf>
    <xf numFmtId="49" fontId="3" fillId="2" borderId="2" xfId="0" applyNumberFormat="1" applyFont="1" applyFill="1" applyBorder="1" applyAlignment="1">
      <alignment horizontal="center" vertical="center"/>
    </xf>
    <xf numFmtId="0" fontId="3" fillId="2" borderId="2" xfId="2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center" wrapText="1"/>
    </xf>
    <xf numFmtId="0" fontId="3" fillId="2" borderId="0" xfId="0" applyFont="1" applyFill="1" applyAlignment="1">
      <alignment horizontal="center"/>
    </xf>
    <xf numFmtId="49" fontId="3" fillId="2" borderId="2" xfId="0" applyNumberFormat="1" applyFont="1" applyFill="1" applyBorder="1" applyAlignment="1">
      <alignment horizontal="center" vertical="center"/>
    </xf>
    <xf numFmtId="0" fontId="2" fillId="2" borderId="5" xfId="5" applyFont="1" applyFill="1" applyBorder="1" applyAlignment="1">
      <alignment horizontal="center" wrapText="1"/>
    </xf>
    <xf numFmtId="0" fontId="3" fillId="2" borderId="2" xfId="2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wrapText="1"/>
    </xf>
    <xf numFmtId="49" fontId="3" fillId="2" borderId="2" xfId="0" applyNumberFormat="1" applyFont="1" applyFill="1" applyBorder="1" applyAlignment="1">
      <alignment horizontal="center" vertical="center"/>
    </xf>
    <xf numFmtId="49" fontId="3" fillId="2" borderId="6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wrapText="1"/>
    </xf>
    <xf numFmtId="0" fontId="3" fillId="2" borderId="5" xfId="0" applyFont="1" applyFill="1" applyBorder="1" applyAlignment="1">
      <alignment horizontal="left" wrapText="1"/>
    </xf>
    <xf numFmtId="0" fontId="3" fillId="2" borderId="0" xfId="0" applyFont="1" applyFill="1" applyAlignment="1">
      <alignment horizontal="center"/>
    </xf>
    <xf numFmtId="0" fontId="3" fillId="3" borderId="0" xfId="0" applyFont="1" applyFill="1"/>
    <xf numFmtId="0" fontId="5" fillId="3" borderId="0" xfId="0" applyFont="1" applyFill="1"/>
    <xf numFmtId="0" fontId="12" fillId="3" borderId="0" xfId="0" applyFont="1" applyFill="1"/>
    <xf numFmtId="3" fontId="3" fillId="3" borderId="1" xfId="6" applyNumberFormat="1" applyFont="1" applyFill="1" applyBorder="1" applyAlignment="1">
      <alignment horizontal="center" wrapText="1"/>
    </xf>
    <xf numFmtId="0" fontId="12" fillId="3" borderId="1" xfId="6" applyFont="1" applyFill="1" applyBorder="1" applyAlignment="1">
      <alignment horizontal="left" wrapText="1"/>
    </xf>
    <xf numFmtId="3" fontId="12" fillId="3" borderId="1" xfId="0" applyNumberFormat="1" applyFont="1" applyFill="1" applyBorder="1" applyAlignment="1">
      <alignment horizontal="center" wrapText="1"/>
    </xf>
    <xf numFmtId="9" fontId="12" fillId="3" borderId="1" xfId="6" applyNumberFormat="1" applyFont="1" applyFill="1" applyBorder="1" applyAlignment="1">
      <alignment horizontal="center" wrapText="1"/>
    </xf>
    <xf numFmtId="0" fontId="3" fillId="3" borderId="1" xfId="6" applyFont="1" applyFill="1" applyBorder="1" applyAlignment="1">
      <alignment horizontal="left" wrapText="1" shrinkToFit="1"/>
    </xf>
    <xf numFmtId="0" fontId="12" fillId="3" borderId="1" xfId="6" applyFont="1" applyFill="1" applyBorder="1" applyAlignment="1">
      <alignment horizontal="left" wrapText="1" shrinkToFit="1"/>
    </xf>
    <xf numFmtId="4" fontId="2" fillId="2" borderId="0" xfId="0" applyNumberFormat="1" applyFont="1" applyFill="1"/>
    <xf numFmtId="4" fontId="12" fillId="2" borderId="1" xfId="0" applyNumberFormat="1" applyFont="1" applyFill="1" applyBorder="1" applyAlignment="1">
      <alignment horizontal="center" wrapText="1"/>
    </xf>
    <xf numFmtId="0" fontId="15" fillId="2" borderId="1" xfId="6" applyFont="1" applyFill="1" applyBorder="1" applyAlignment="1">
      <alignment horizontal="left" wrapText="1"/>
    </xf>
    <xf numFmtId="3" fontId="3" fillId="2" borderId="0" xfId="0" applyNumberFormat="1" applyFont="1" applyFill="1"/>
    <xf numFmtId="0" fontId="2" fillId="2" borderId="5" xfId="0" applyFont="1" applyFill="1" applyBorder="1" applyAlignment="1">
      <alignment horizontal="center" wrapText="1"/>
    </xf>
    <xf numFmtId="0" fontId="3" fillId="2" borderId="0" xfId="0" applyFont="1" applyFill="1" applyAlignment="1">
      <alignment horizontal="center"/>
    </xf>
    <xf numFmtId="0" fontId="3" fillId="2" borderId="3" xfId="0" applyFont="1" applyFill="1" applyBorder="1" applyAlignment="1">
      <alignment horizontal="left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6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4" fontId="3" fillId="3" borderId="0" xfId="0" applyNumberFormat="1" applyFont="1" applyFill="1"/>
    <xf numFmtId="0" fontId="2" fillId="2" borderId="8" xfId="0" applyFont="1" applyFill="1" applyBorder="1" applyAlignment="1">
      <alignment horizontal="left" wrapText="1"/>
    </xf>
    <xf numFmtId="0" fontId="3" fillId="2" borderId="8" xfId="0" applyFont="1" applyFill="1" applyBorder="1" applyAlignment="1">
      <alignment horizontal="left" vertical="center" wrapText="1"/>
    </xf>
    <xf numFmtId="4" fontId="16" fillId="2" borderId="5" xfId="0" applyNumberFormat="1" applyFont="1" applyFill="1" applyBorder="1" applyAlignment="1">
      <alignment wrapText="1"/>
    </xf>
    <xf numFmtId="0" fontId="12" fillId="2" borderId="5" xfId="0" applyFont="1" applyFill="1" applyBorder="1" applyAlignment="1">
      <alignment horizontal="left" vertical="center"/>
    </xf>
    <xf numFmtId="0" fontId="12" fillId="2" borderId="5" xfId="0" applyFont="1" applyFill="1" applyBorder="1" applyAlignment="1">
      <alignment horizontal="left" vertical="center" wrapText="1"/>
    </xf>
    <xf numFmtId="0" fontId="16" fillId="2" borderId="5" xfId="8" applyFont="1" applyFill="1" applyBorder="1" applyAlignment="1">
      <alignment wrapText="1"/>
    </xf>
    <xf numFmtId="0" fontId="3" fillId="4" borderId="3" xfId="6" applyFont="1" applyFill="1" applyBorder="1" applyAlignment="1">
      <alignment horizontal="left" wrapText="1"/>
    </xf>
    <xf numFmtId="3" fontId="3" fillId="4" borderId="1" xfId="6" applyNumberFormat="1" applyFont="1" applyFill="1" applyBorder="1" applyAlignment="1">
      <alignment horizontal="center" wrapText="1"/>
    </xf>
    <xf numFmtId="0" fontId="3" fillId="4" borderId="0" xfId="0" applyFont="1" applyFill="1"/>
    <xf numFmtId="9" fontId="3" fillId="4" borderId="1" xfId="6" applyNumberFormat="1" applyFont="1" applyFill="1" applyBorder="1" applyAlignment="1">
      <alignment horizontal="center" wrapText="1"/>
    </xf>
    <xf numFmtId="3" fontId="16" fillId="2" borderId="1" xfId="8" applyNumberFormat="1" applyFont="1" applyFill="1" applyBorder="1" applyAlignment="1">
      <alignment horizontal="center"/>
    </xf>
    <xf numFmtId="0" fontId="16" fillId="2" borderId="1" xfId="8" applyFont="1" applyFill="1" applyBorder="1" applyAlignment="1">
      <alignment wrapText="1"/>
    </xf>
    <xf numFmtId="0" fontId="21" fillId="2" borderId="0" xfId="0" applyFont="1" applyFill="1" applyAlignment="1">
      <alignment horizontal="left" vertical="center"/>
    </xf>
    <xf numFmtId="4" fontId="21" fillId="2" borderId="0" xfId="0" applyNumberFormat="1" applyFont="1" applyFill="1"/>
    <xf numFmtId="0" fontId="21" fillId="2" borderId="0" xfId="0" applyFont="1" applyFill="1"/>
    <xf numFmtId="164" fontId="21" fillId="2" borderId="0" xfId="0" applyNumberFormat="1" applyFont="1" applyFill="1"/>
    <xf numFmtId="0" fontId="3" fillId="2" borderId="3" xfId="0" applyFont="1" applyFill="1" applyBorder="1" applyAlignment="1">
      <alignment horizontal="left" vertical="center" wrapText="1"/>
    </xf>
    <xf numFmtId="3" fontId="13" fillId="3" borderId="1" xfId="0" applyNumberFormat="1" applyFont="1" applyFill="1" applyBorder="1" applyAlignment="1">
      <alignment horizontal="center"/>
    </xf>
    <xf numFmtId="4" fontId="4" fillId="5" borderId="1" xfId="0" applyNumberFormat="1" applyFont="1" applyFill="1" applyBorder="1" applyAlignment="1">
      <alignment horizontal="center"/>
    </xf>
    <xf numFmtId="3" fontId="13" fillId="5" borderId="1" xfId="0" applyNumberFormat="1" applyFont="1" applyFill="1" applyBorder="1" applyAlignment="1">
      <alignment horizontal="center"/>
    </xf>
    <xf numFmtId="3" fontId="3" fillId="5" borderId="1" xfId="0" applyNumberFormat="1" applyFont="1" applyFill="1" applyBorder="1" applyAlignment="1">
      <alignment horizontal="center" wrapText="1"/>
    </xf>
    <xf numFmtId="4" fontId="3" fillId="5" borderId="1" xfId="0" applyNumberFormat="1" applyFont="1" applyFill="1" applyBorder="1" applyAlignment="1">
      <alignment horizontal="center" wrapText="1"/>
    </xf>
    <xf numFmtId="4" fontId="18" fillId="4" borderId="2" xfId="0" applyNumberFormat="1" applyFont="1" applyFill="1" applyBorder="1" applyAlignment="1">
      <alignment wrapText="1"/>
    </xf>
    <xf numFmtId="4" fontId="3" fillId="4" borderId="1" xfId="6" applyNumberFormat="1" applyFont="1" applyFill="1" applyBorder="1" applyAlignment="1">
      <alignment horizontal="center" wrapText="1"/>
    </xf>
    <xf numFmtId="0" fontId="12" fillId="3" borderId="1" xfId="0" applyFont="1" applyFill="1" applyBorder="1" applyAlignment="1">
      <alignment horizontal="left" vertical="center"/>
    </xf>
    <xf numFmtId="0" fontId="12" fillId="3" borderId="3" xfId="0" applyFont="1" applyFill="1" applyBorder="1" applyAlignment="1">
      <alignment horizontal="left" wrapText="1"/>
    </xf>
    <xf numFmtId="4" fontId="12" fillId="3" borderId="1" xfId="0" applyNumberFormat="1" applyFont="1" applyFill="1" applyBorder="1" applyAlignment="1">
      <alignment horizontal="center"/>
    </xf>
    <xf numFmtId="9" fontId="13" fillId="3" borderId="1" xfId="0" applyNumberFormat="1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 wrapText="1"/>
    </xf>
    <xf numFmtId="0" fontId="3" fillId="2" borderId="0" xfId="0" applyFont="1" applyFill="1" applyAlignment="1">
      <alignment horizontal="center"/>
    </xf>
    <xf numFmtId="49" fontId="3" fillId="2" borderId="2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left" wrapText="1"/>
    </xf>
    <xf numFmtId="0" fontId="2" fillId="2" borderId="5" xfId="5" applyFont="1" applyFill="1" applyBorder="1" applyAlignment="1">
      <alignment horizontal="center" wrapText="1"/>
    </xf>
    <xf numFmtId="0" fontId="3" fillId="2" borderId="6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18" fillId="0" borderId="1" xfId="0" applyFont="1" applyBorder="1" applyAlignment="1">
      <alignment wrapText="1"/>
    </xf>
    <xf numFmtId="3" fontId="18" fillId="0" borderId="1" xfId="0" applyNumberFormat="1" applyFont="1" applyBorder="1" applyAlignment="1">
      <alignment horizontal="center" wrapText="1"/>
    </xf>
    <xf numFmtId="0" fontId="16" fillId="0" borderId="1" xfId="0" applyFont="1" applyBorder="1" applyAlignment="1">
      <alignment wrapText="1"/>
    </xf>
    <xf numFmtId="3" fontId="16" fillId="0" borderId="1" xfId="0" applyNumberFormat="1" applyFont="1" applyBorder="1" applyAlignment="1">
      <alignment horizontal="center" wrapText="1"/>
    </xf>
    <xf numFmtId="0" fontId="3" fillId="2" borderId="0" xfId="0" applyFont="1" applyFill="1" applyBorder="1"/>
    <xf numFmtId="49" fontId="3" fillId="2" borderId="0" xfId="0" applyNumberFormat="1" applyFont="1" applyFill="1" applyBorder="1" applyAlignment="1">
      <alignment horizontal="center"/>
    </xf>
    <xf numFmtId="0" fontId="2" fillId="2" borderId="0" xfId="0" applyFont="1" applyFill="1" applyBorder="1" applyAlignment="1"/>
    <xf numFmtId="0" fontId="2" fillId="2" borderId="0" xfId="0" applyFont="1" applyFill="1" applyBorder="1" applyAlignment="1">
      <alignment horizontal="left" vertical="center" wrapText="1"/>
    </xf>
    <xf numFmtId="3" fontId="2" fillId="2" borderId="0" xfId="0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left" vertical="center" wrapText="1"/>
    </xf>
    <xf numFmtId="3" fontId="3" fillId="2" borderId="0" xfId="0" applyNumberFormat="1" applyFont="1" applyFill="1" applyBorder="1" applyAlignment="1">
      <alignment horizontal="center"/>
    </xf>
    <xf numFmtId="49" fontId="3" fillId="2" borderId="2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5" xfId="6" applyFont="1" applyFill="1" applyBorder="1" applyAlignment="1">
      <alignment horizontal="left" vertical="center" wrapText="1"/>
    </xf>
    <xf numFmtId="9" fontId="3" fillId="2" borderId="1" xfId="0" applyNumberFormat="1" applyFont="1" applyFill="1" applyBorder="1" applyAlignment="1">
      <alignment horizontal="center" vertical="center" wrapText="1"/>
    </xf>
    <xf numFmtId="0" fontId="12" fillId="2" borderId="5" xfId="5" applyFont="1" applyFill="1" applyBorder="1" applyAlignment="1">
      <alignment wrapText="1"/>
    </xf>
    <xf numFmtId="4" fontId="3" fillId="2" borderId="1" xfId="6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18" fillId="0" borderId="1" xfId="0" applyNumberFormat="1" applyFont="1" applyBorder="1" applyAlignment="1">
      <alignment horizontal="center" wrapText="1"/>
    </xf>
    <xf numFmtId="4" fontId="16" fillId="0" borderId="1" xfId="0" applyNumberFormat="1" applyFont="1" applyBorder="1" applyAlignment="1">
      <alignment horizontal="center" wrapText="1"/>
    </xf>
    <xf numFmtId="3" fontId="18" fillId="0" borderId="5" xfId="0" applyNumberFormat="1" applyFont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3" fontId="16" fillId="0" borderId="5" xfId="0" applyNumberFormat="1" applyFont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>
      <alignment horizontal="center"/>
    </xf>
    <xf numFmtId="49" fontId="3" fillId="2" borderId="2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wrapText="1"/>
    </xf>
    <xf numFmtId="0" fontId="3" fillId="2" borderId="2" xfId="0" applyFont="1" applyFill="1" applyBorder="1" applyAlignment="1">
      <alignment wrapText="1"/>
    </xf>
    <xf numFmtId="49" fontId="3" fillId="2" borderId="2" xfId="0" applyNumberFormat="1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left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2" xfId="2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/>
    </xf>
    <xf numFmtId="0" fontId="18" fillId="2" borderId="3" xfId="8" applyFont="1" applyFill="1" applyBorder="1" applyAlignment="1">
      <alignment wrapText="1"/>
    </xf>
    <xf numFmtId="0" fontId="3" fillId="0" borderId="0" xfId="0" applyFont="1"/>
    <xf numFmtId="49" fontId="3" fillId="2" borderId="4" xfId="0" applyNumberFormat="1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3" fillId="2" borderId="0" xfId="0" applyFont="1" applyFill="1" applyAlignment="1">
      <alignment horizontal="center"/>
    </xf>
    <xf numFmtId="49" fontId="3" fillId="2" borderId="2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/>
    </xf>
    <xf numFmtId="49" fontId="3" fillId="2" borderId="6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left" wrapText="1"/>
    </xf>
    <xf numFmtId="0" fontId="3" fillId="2" borderId="5" xfId="0" applyFont="1" applyFill="1" applyBorder="1" applyAlignment="1">
      <alignment horizontal="left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  <xf numFmtId="49" fontId="20" fillId="2" borderId="3" xfId="0" applyNumberFormat="1" applyFont="1" applyFill="1" applyBorder="1" applyAlignment="1">
      <alignment horizontal="center" wrapText="1"/>
    </xf>
    <xf numFmtId="49" fontId="20" fillId="2" borderId="8" xfId="0" applyNumberFormat="1" applyFont="1" applyFill="1" applyBorder="1" applyAlignment="1">
      <alignment horizontal="center" wrapText="1"/>
    </xf>
    <xf numFmtId="49" fontId="20" fillId="2" borderId="5" xfId="0" applyNumberFormat="1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49" fontId="4" fillId="2" borderId="2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center" vertical="center"/>
    </xf>
    <xf numFmtId="49" fontId="4" fillId="2" borderId="6" xfId="0" applyNumberFormat="1" applyFont="1" applyFill="1" applyBorder="1" applyAlignment="1">
      <alignment horizontal="center" vertical="center"/>
    </xf>
    <xf numFmtId="0" fontId="2" fillId="2" borderId="3" xfId="5" applyFont="1" applyFill="1" applyBorder="1" applyAlignment="1">
      <alignment horizontal="center" wrapText="1"/>
    </xf>
    <xf numFmtId="0" fontId="2" fillId="2" borderId="5" xfId="5" applyFont="1" applyFill="1" applyBorder="1" applyAlignment="1">
      <alignment horizontal="center" wrapText="1"/>
    </xf>
    <xf numFmtId="0" fontId="3" fillId="2" borderId="2" xfId="2" applyFont="1" applyFill="1" applyBorder="1" applyAlignment="1">
      <alignment horizontal="left" vertical="center" wrapText="1"/>
    </xf>
    <xf numFmtId="0" fontId="3" fillId="2" borderId="4" xfId="2" applyFont="1" applyFill="1" applyBorder="1" applyAlignment="1">
      <alignment horizontal="left" vertical="center" wrapText="1"/>
    </xf>
    <xf numFmtId="0" fontId="3" fillId="2" borderId="6" xfId="2" applyFont="1" applyFill="1" applyBorder="1" applyAlignment="1">
      <alignment horizontal="left" vertical="center" wrapText="1"/>
    </xf>
    <xf numFmtId="0" fontId="9" fillId="2" borderId="0" xfId="0" applyFont="1" applyFill="1" applyAlignment="1">
      <alignment horizontal="center"/>
    </xf>
    <xf numFmtId="0" fontId="3" fillId="2" borderId="2" xfId="0" applyNumberFormat="1" applyFont="1" applyFill="1" applyBorder="1" applyAlignment="1">
      <alignment horizontal="center" vertical="center" wrapText="1"/>
    </xf>
    <xf numFmtId="0" fontId="3" fillId="2" borderId="6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49" fontId="3" fillId="3" borderId="2" xfId="0" applyNumberFormat="1" applyFont="1" applyFill="1" applyBorder="1" applyAlignment="1">
      <alignment horizontal="center" vertical="center"/>
    </xf>
    <xf numFmtId="49" fontId="3" fillId="3" borderId="4" xfId="0" applyNumberFormat="1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left"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3" fillId="2" borderId="2" xfId="2" applyFont="1" applyFill="1" applyBorder="1" applyAlignment="1">
      <alignment horizontal="center" vertical="center" wrapText="1"/>
    </xf>
    <xf numFmtId="0" fontId="3" fillId="2" borderId="4" xfId="2" applyFont="1" applyFill="1" applyBorder="1" applyAlignment="1">
      <alignment horizontal="center" vertical="center" wrapText="1"/>
    </xf>
    <xf numFmtId="0" fontId="3" fillId="2" borderId="6" xfId="2" applyFont="1" applyFill="1" applyBorder="1" applyAlignment="1">
      <alignment horizontal="center" vertical="center" wrapText="1"/>
    </xf>
    <xf numFmtId="0" fontId="3" fillId="2" borderId="1" xfId="5" applyFont="1" applyFill="1" applyBorder="1" applyAlignment="1">
      <alignment horizontal="left" vertical="top" wrapText="1"/>
    </xf>
    <xf numFmtId="49" fontId="2" fillId="2" borderId="3" xfId="0" applyNumberFormat="1" applyFont="1" applyFill="1" applyBorder="1" applyAlignment="1">
      <alignment horizontal="center" wrapText="1"/>
    </xf>
    <xf numFmtId="49" fontId="2" fillId="2" borderId="8" xfId="0" applyNumberFormat="1" applyFont="1" applyFill="1" applyBorder="1" applyAlignment="1">
      <alignment horizontal="center" wrapText="1"/>
    </xf>
    <xf numFmtId="49" fontId="2" fillId="2" borderId="5" xfId="0" applyNumberFormat="1" applyFont="1" applyFill="1" applyBorder="1" applyAlignment="1">
      <alignment horizontal="center" wrapText="1"/>
    </xf>
    <xf numFmtId="49" fontId="3" fillId="2" borderId="2" xfId="0" applyNumberFormat="1" applyFont="1" applyFill="1" applyBorder="1" applyAlignment="1">
      <alignment horizontal="center" vertical="top"/>
    </xf>
    <xf numFmtId="49" fontId="3" fillId="2" borderId="6" xfId="0" applyNumberFormat="1" applyFont="1" applyFill="1" applyBorder="1" applyAlignment="1">
      <alignment horizontal="center" vertical="top"/>
    </xf>
    <xf numFmtId="49" fontId="4" fillId="2" borderId="2" xfId="0" applyNumberFormat="1" applyFont="1" applyFill="1" applyBorder="1" applyAlignment="1">
      <alignment horizontal="center" vertical="top"/>
    </xf>
    <xf numFmtId="49" fontId="4" fillId="2" borderId="6" xfId="0" applyNumberFormat="1" applyFont="1" applyFill="1" applyBorder="1" applyAlignment="1">
      <alignment horizontal="center" vertical="top"/>
    </xf>
    <xf numFmtId="0" fontId="3" fillId="2" borderId="2" xfId="5" applyFont="1" applyFill="1" applyBorder="1" applyAlignment="1">
      <alignment horizontal="left" vertical="top" wrapText="1"/>
    </xf>
    <xf numFmtId="0" fontId="3" fillId="2" borderId="6" xfId="5" applyFont="1" applyFill="1" applyBorder="1" applyAlignment="1">
      <alignment horizontal="left" vertical="top" wrapText="1"/>
    </xf>
    <xf numFmtId="49" fontId="3" fillId="2" borderId="1" xfId="0" applyNumberFormat="1" applyFont="1" applyFill="1" applyBorder="1" applyAlignment="1">
      <alignment horizontal="center" vertical="top"/>
    </xf>
    <xf numFmtId="49" fontId="4" fillId="2" borderId="1" xfId="0" applyNumberFormat="1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1" xfId="0" applyFont="1" applyFill="1" applyBorder="1" applyAlignment="1">
      <alignment horizontal="left" vertical="center" wrapText="1"/>
    </xf>
    <xf numFmtId="0" fontId="3" fillId="2" borderId="10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left" vertical="center" wrapText="1"/>
    </xf>
  </cellXfs>
  <cellStyles count="9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6" xfId="8"/>
    <cellStyle name="Обычный_дод 3" xfId="5"/>
    <cellStyle name="Обычный_дод№8" xfId="6"/>
    <cellStyle name="Обычный_дод№8_1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08"/>
  <sheetViews>
    <sheetView view="pageBreakPreview" zoomScale="80" zoomScaleNormal="70" zoomScaleSheetLayoutView="80" workbookViewId="0">
      <selection activeCell="E15" sqref="E15"/>
    </sheetView>
  </sheetViews>
  <sheetFormatPr defaultRowHeight="18.75"/>
  <cols>
    <col min="1" max="1" width="17.140625" style="75" customWidth="1"/>
    <col min="2" max="2" width="14.85546875" style="1" customWidth="1"/>
    <col min="3" max="3" width="16.5703125" style="1" customWidth="1"/>
    <col min="4" max="4" width="41.140625" style="1" customWidth="1"/>
    <col min="5" max="5" width="51.28515625" style="15" customWidth="1"/>
    <col min="6" max="6" width="13.7109375" style="15" customWidth="1"/>
    <col min="7" max="7" width="19.7109375" style="1" customWidth="1"/>
    <col min="8" max="8" width="18.5703125" style="1" customWidth="1"/>
    <col min="9" max="9" width="19.42578125" style="1" customWidth="1"/>
    <col min="10" max="10" width="25.5703125" style="1" customWidth="1"/>
    <col min="11" max="16384" width="9.140625" style="1"/>
  </cols>
  <sheetData>
    <row r="1" spans="1:10">
      <c r="A1" s="29"/>
      <c r="D1" s="75"/>
      <c r="H1" s="16" t="s">
        <v>136</v>
      </c>
      <c r="I1" s="16"/>
    </row>
    <row r="2" spans="1:10">
      <c r="A2" s="29"/>
      <c r="D2" s="75"/>
      <c r="H2" s="16" t="s">
        <v>135</v>
      </c>
      <c r="I2" s="8"/>
    </row>
    <row r="3" spans="1:10">
      <c r="A3" s="29"/>
      <c r="D3" s="75"/>
      <c r="H3" s="16" t="s">
        <v>70</v>
      </c>
      <c r="I3" s="8"/>
    </row>
    <row r="4" spans="1:10">
      <c r="A4" s="29"/>
      <c r="D4" s="75"/>
      <c r="H4" s="17" t="s">
        <v>137</v>
      </c>
    </row>
    <row r="5" spans="1:10" s="4" customFormat="1" ht="20.25">
      <c r="A5" s="294" t="s">
        <v>138</v>
      </c>
      <c r="B5" s="294"/>
      <c r="C5" s="294"/>
      <c r="D5" s="294"/>
      <c r="E5" s="294"/>
      <c r="F5" s="294"/>
      <c r="G5" s="294"/>
      <c r="H5" s="294"/>
      <c r="I5" s="294"/>
      <c r="J5" s="2"/>
    </row>
    <row r="6" spans="1:10" s="4" customFormat="1" ht="20.25">
      <c r="A6" s="3"/>
      <c r="D6" s="2"/>
      <c r="E6" s="21"/>
      <c r="F6" s="21"/>
      <c r="G6" s="2"/>
      <c r="H6" s="2"/>
      <c r="I6" s="2"/>
      <c r="J6" s="48" t="s">
        <v>81</v>
      </c>
    </row>
    <row r="7" spans="1:10">
      <c r="A7" s="295" t="s">
        <v>59</v>
      </c>
      <c r="B7" s="295" t="s">
        <v>60</v>
      </c>
      <c r="C7" s="295" t="s">
        <v>61</v>
      </c>
      <c r="D7" s="297" t="s">
        <v>62</v>
      </c>
      <c r="E7" s="298" t="s">
        <v>63</v>
      </c>
      <c r="F7" s="299" t="s">
        <v>64</v>
      </c>
      <c r="G7" s="297" t="s">
        <v>65</v>
      </c>
      <c r="H7" s="297" t="s">
        <v>66</v>
      </c>
      <c r="I7" s="297" t="s">
        <v>67</v>
      </c>
      <c r="J7" s="72" t="s">
        <v>2</v>
      </c>
    </row>
    <row r="8" spans="1:10" ht="150">
      <c r="A8" s="296"/>
      <c r="B8" s="296"/>
      <c r="C8" s="296"/>
      <c r="D8" s="297"/>
      <c r="E8" s="298"/>
      <c r="F8" s="300"/>
      <c r="G8" s="297"/>
      <c r="H8" s="297"/>
      <c r="I8" s="297"/>
      <c r="J8" s="72" t="s">
        <v>1</v>
      </c>
    </row>
    <row r="9" spans="1:10">
      <c r="A9" s="71">
        <v>1</v>
      </c>
      <c r="B9" s="71">
        <v>2</v>
      </c>
      <c r="C9" s="71">
        <v>3</v>
      </c>
      <c r="D9" s="72">
        <v>4</v>
      </c>
      <c r="E9" s="72">
        <v>5</v>
      </c>
      <c r="F9" s="37">
        <v>6</v>
      </c>
      <c r="G9" s="72">
        <v>7</v>
      </c>
      <c r="H9" s="72">
        <v>8</v>
      </c>
      <c r="I9" s="72">
        <v>9</v>
      </c>
      <c r="J9" s="72">
        <v>10</v>
      </c>
    </row>
    <row r="10" spans="1:10" s="10" customFormat="1">
      <c r="A10" s="5" t="s">
        <v>20</v>
      </c>
      <c r="B10" s="5"/>
      <c r="C10" s="5"/>
      <c r="D10" s="268" t="s">
        <v>76</v>
      </c>
      <c r="E10" s="269"/>
      <c r="F10" s="70"/>
      <c r="G10" s="80">
        <f>G11</f>
        <v>16192700</v>
      </c>
      <c r="H10" s="80">
        <f>H11</f>
        <v>16192700</v>
      </c>
      <c r="I10" s="31"/>
      <c r="J10" s="80">
        <f>J11</f>
        <v>16192700</v>
      </c>
    </row>
    <row r="11" spans="1:10" s="10" customFormat="1">
      <c r="A11" s="5" t="s">
        <v>21</v>
      </c>
      <c r="B11" s="5"/>
      <c r="C11" s="5"/>
      <c r="D11" s="268" t="s">
        <v>76</v>
      </c>
      <c r="E11" s="269"/>
      <c r="F11" s="70"/>
      <c r="G11" s="80">
        <f>G12+G13+G14+G15+G16</f>
        <v>16192700</v>
      </c>
      <c r="H11" s="80">
        <f>H12+H13+H14+H15+H16</f>
        <v>16192700</v>
      </c>
      <c r="I11" s="80"/>
      <c r="J11" s="80">
        <f>J12+J13+J14+J15+J16</f>
        <v>16192700</v>
      </c>
    </row>
    <row r="12" spans="1:10" ht="131.25">
      <c r="A12" s="6" t="s">
        <v>139</v>
      </c>
      <c r="B12" s="6" t="s">
        <v>140</v>
      </c>
      <c r="C12" s="6" t="s">
        <v>141</v>
      </c>
      <c r="D12" s="7" t="s">
        <v>142</v>
      </c>
      <c r="E12" s="22" t="s">
        <v>3</v>
      </c>
      <c r="F12" s="22" t="s">
        <v>68</v>
      </c>
      <c r="G12" s="81">
        <f>1587500-22000</f>
        <v>1565500</v>
      </c>
      <c r="H12" s="82">
        <f>1587500-22000</f>
        <v>1565500</v>
      </c>
      <c r="I12" s="32">
        <v>1</v>
      </c>
      <c r="J12" s="81">
        <f>1587500-22000</f>
        <v>1565500</v>
      </c>
    </row>
    <row r="13" spans="1:10" ht="37.5">
      <c r="A13" s="6" t="s">
        <v>130</v>
      </c>
      <c r="B13" s="6" t="s">
        <v>131</v>
      </c>
      <c r="C13" s="6" t="s">
        <v>132</v>
      </c>
      <c r="D13" s="8" t="s">
        <v>133</v>
      </c>
      <c r="E13" s="22" t="s">
        <v>3</v>
      </c>
      <c r="F13" s="22" t="s">
        <v>68</v>
      </c>
      <c r="G13" s="81">
        <f>13237200+500000</f>
        <v>13737200</v>
      </c>
      <c r="H13" s="82">
        <f>13237200+500000</f>
        <v>13737200</v>
      </c>
      <c r="I13" s="32">
        <v>1</v>
      </c>
      <c r="J13" s="81">
        <f>13237200+500000</f>
        <v>13737200</v>
      </c>
    </row>
    <row r="14" spans="1:10" ht="37.5">
      <c r="A14" s="6" t="s">
        <v>126</v>
      </c>
      <c r="B14" s="6" t="s">
        <v>127</v>
      </c>
      <c r="C14" s="6" t="s">
        <v>128</v>
      </c>
      <c r="D14" s="7" t="s">
        <v>129</v>
      </c>
      <c r="E14" s="22" t="s">
        <v>3</v>
      </c>
      <c r="F14" s="22" t="s">
        <v>68</v>
      </c>
      <c r="G14" s="81">
        <v>550000</v>
      </c>
      <c r="H14" s="82">
        <v>550000</v>
      </c>
      <c r="I14" s="32">
        <v>1</v>
      </c>
      <c r="J14" s="81">
        <v>550000</v>
      </c>
    </row>
    <row r="15" spans="1:10" ht="37.5">
      <c r="A15" s="6" t="s">
        <v>22</v>
      </c>
      <c r="B15" s="6" t="s">
        <v>23</v>
      </c>
      <c r="C15" s="6" t="s">
        <v>8</v>
      </c>
      <c r="D15" s="7" t="s">
        <v>24</v>
      </c>
      <c r="E15" s="22" t="s">
        <v>3</v>
      </c>
      <c r="F15" s="22" t="s">
        <v>68</v>
      </c>
      <c r="G15" s="81">
        <v>140000</v>
      </c>
      <c r="H15" s="82">
        <v>140000</v>
      </c>
      <c r="I15" s="32">
        <v>1</v>
      </c>
      <c r="J15" s="81">
        <v>140000</v>
      </c>
    </row>
    <row r="16" spans="1:10" ht="44.25" customHeight="1">
      <c r="A16" s="6" t="s">
        <v>143</v>
      </c>
      <c r="B16" s="6" t="s">
        <v>144</v>
      </c>
      <c r="C16" s="6" t="s">
        <v>10</v>
      </c>
      <c r="D16" s="7" t="s">
        <v>145</v>
      </c>
      <c r="E16" s="22" t="s">
        <v>3</v>
      </c>
      <c r="F16" s="83" t="s">
        <v>68</v>
      </c>
      <c r="G16" s="81">
        <v>200000</v>
      </c>
      <c r="H16" s="82">
        <v>200000</v>
      </c>
      <c r="I16" s="32">
        <v>1</v>
      </c>
      <c r="J16" s="81">
        <v>200000</v>
      </c>
    </row>
    <row r="17" spans="1:10">
      <c r="A17" s="5" t="s">
        <v>25</v>
      </c>
      <c r="B17" s="5"/>
      <c r="C17" s="5"/>
      <c r="D17" s="289" t="s">
        <v>14</v>
      </c>
      <c r="E17" s="290"/>
      <c r="F17" s="76"/>
      <c r="G17" s="84">
        <f>G18</f>
        <v>26091600</v>
      </c>
      <c r="H17" s="84">
        <f>H18</f>
        <v>26091600</v>
      </c>
      <c r="I17" s="33"/>
      <c r="J17" s="84">
        <f>J18</f>
        <v>26091600</v>
      </c>
    </row>
    <row r="18" spans="1:10">
      <c r="A18" s="5" t="s">
        <v>26</v>
      </c>
      <c r="B18" s="6"/>
      <c r="C18" s="6"/>
      <c r="D18" s="289" t="s">
        <v>14</v>
      </c>
      <c r="E18" s="290"/>
      <c r="F18" s="76"/>
      <c r="G18" s="84">
        <f>G19+G20+G23+G24</f>
        <v>26091600</v>
      </c>
      <c r="H18" s="84">
        <f>H19+H20+H23+H24</f>
        <v>26091600</v>
      </c>
      <c r="I18" s="33"/>
      <c r="J18" s="84">
        <f>J19+J20+J23+J24</f>
        <v>26091600</v>
      </c>
    </row>
    <row r="19" spans="1:10">
      <c r="A19" s="77" t="s">
        <v>27</v>
      </c>
      <c r="B19" s="77" t="s">
        <v>15</v>
      </c>
      <c r="C19" s="77" t="s">
        <v>16</v>
      </c>
      <c r="D19" s="74" t="s">
        <v>28</v>
      </c>
      <c r="E19" s="22" t="s">
        <v>3</v>
      </c>
      <c r="F19" s="85" t="s">
        <v>68</v>
      </c>
      <c r="G19" s="81">
        <f>1500000+1000000+2500000</f>
        <v>5000000</v>
      </c>
      <c r="H19" s="82">
        <f>1500000+1000000+2500000</f>
        <v>5000000</v>
      </c>
      <c r="I19" s="32">
        <v>1</v>
      </c>
      <c r="J19" s="81">
        <f>1500000+1000000+2500000</f>
        <v>5000000</v>
      </c>
    </row>
    <row r="20" spans="1:10" ht="30.75" customHeight="1">
      <c r="A20" s="271" t="s">
        <v>29</v>
      </c>
      <c r="B20" s="271" t="s">
        <v>17</v>
      </c>
      <c r="C20" s="271" t="s">
        <v>18</v>
      </c>
      <c r="D20" s="291" t="s">
        <v>19</v>
      </c>
      <c r="E20" s="22" t="s">
        <v>146</v>
      </c>
      <c r="F20" s="22" t="s">
        <v>68</v>
      </c>
      <c r="G20" s="81">
        <f>3000000+2000000+10000000</f>
        <v>15000000</v>
      </c>
      <c r="H20" s="82">
        <f>3000000+2000000+10000000</f>
        <v>15000000</v>
      </c>
      <c r="I20" s="32">
        <v>1</v>
      </c>
      <c r="J20" s="81">
        <f>3000000+2000000+10000000</f>
        <v>15000000</v>
      </c>
    </row>
    <row r="21" spans="1:10" ht="31.5" customHeight="1">
      <c r="A21" s="272"/>
      <c r="B21" s="272"/>
      <c r="C21" s="272"/>
      <c r="D21" s="292"/>
      <c r="E21" s="42" t="s">
        <v>147</v>
      </c>
      <c r="F21" s="86"/>
      <c r="G21" s="87"/>
      <c r="H21" s="88"/>
      <c r="I21" s="89"/>
      <c r="J21" s="87"/>
    </row>
    <row r="22" spans="1:10" ht="58.5" customHeight="1">
      <c r="A22" s="273"/>
      <c r="B22" s="273"/>
      <c r="C22" s="273"/>
      <c r="D22" s="293"/>
      <c r="E22" s="42" t="s">
        <v>148</v>
      </c>
      <c r="F22" s="42" t="s">
        <v>68</v>
      </c>
      <c r="G22" s="87">
        <v>10000000</v>
      </c>
      <c r="H22" s="88">
        <v>10000000</v>
      </c>
      <c r="I22" s="89">
        <v>1</v>
      </c>
      <c r="J22" s="87">
        <v>10000000</v>
      </c>
    </row>
    <row r="23" spans="1:10" ht="37.5" customHeight="1">
      <c r="A23" s="77" t="s">
        <v>149</v>
      </c>
      <c r="B23" s="77" t="s">
        <v>150</v>
      </c>
      <c r="C23" s="77" t="s">
        <v>151</v>
      </c>
      <c r="D23" s="90" t="s">
        <v>152</v>
      </c>
      <c r="E23" s="22" t="s">
        <v>3</v>
      </c>
      <c r="F23" s="22" t="s">
        <v>68</v>
      </c>
      <c r="G23" s="81">
        <v>300000</v>
      </c>
      <c r="H23" s="82">
        <v>300000</v>
      </c>
      <c r="I23" s="32">
        <v>1</v>
      </c>
      <c r="J23" s="81">
        <v>300000</v>
      </c>
    </row>
    <row r="24" spans="1:10" ht="57" customHeight="1">
      <c r="A24" s="6" t="s">
        <v>153</v>
      </c>
      <c r="B24" s="6" t="s">
        <v>154</v>
      </c>
      <c r="C24" s="6" t="s">
        <v>155</v>
      </c>
      <c r="D24" s="7" t="s">
        <v>156</v>
      </c>
      <c r="E24" s="22" t="s">
        <v>3</v>
      </c>
      <c r="F24" s="22" t="s">
        <v>68</v>
      </c>
      <c r="G24" s="81">
        <v>5791600</v>
      </c>
      <c r="H24" s="82">
        <v>5791600</v>
      </c>
      <c r="I24" s="34">
        <v>1</v>
      </c>
      <c r="J24" s="91">
        <v>5791600</v>
      </c>
    </row>
    <row r="25" spans="1:10" s="10" customFormat="1" ht="38.25" customHeight="1">
      <c r="A25" s="5" t="s">
        <v>157</v>
      </c>
      <c r="B25" s="5"/>
      <c r="C25" s="5"/>
      <c r="D25" s="268" t="s">
        <v>158</v>
      </c>
      <c r="E25" s="269"/>
      <c r="F25" s="70"/>
      <c r="G25" s="84">
        <f>G26</f>
        <v>44000</v>
      </c>
      <c r="H25" s="84">
        <f>H26</f>
        <v>44000</v>
      </c>
      <c r="I25" s="33"/>
      <c r="J25" s="84">
        <f>J26</f>
        <v>44000</v>
      </c>
    </row>
    <row r="26" spans="1:10" s="10" customFormat="1" ht="39.75" customHeight="1">
      <c r="A26" s="5" t="s">
        <v>159</v>
      </c>
      <c r="B26" s="5"/>
      <c r="C26" s="5"/>
      <c r="D26" s="268" t="s">
        <v>158</v>
      </c>
      <c r="E26" s="269"/>
      <c r="F26" s="70"/>
      <c r="G26" s="84">
        <f>G27+G28</f>
        <v>44000</v>
      </c>
      <c r="H26" s="84">
        <f>H27+H28</f>
        <v>44000</v>
      </c>
      <c r="I26" s="33"/>
      <c r="J26" s="84">
        <f>J27+J28</f>
        <v>44000</v>
      </c>
    </row>
    <row r="27" spans="1:10" ht="93.75">
      <c r="A27" s="6" t="s">
        <v>160</v>
      </c>
      <c r="B27" s="6" t="s">
        <v>161</v>
      </c>
      <c r="C27" s="6" t="s">
        <v>141</v>
      </c>
      <c r="D27" s="7" t="s">
        <v>162</v>
      </c>
      <c r="E27" s="22" t="s">
        <v>3</v>
      </c>
      <c r="F27" s="22" t="s">
        <v>68</v>
      </c>
      <c r="G27" s="81">
        <v>32000</v>
      </c>
      <c r="H27" s="82">
        <v>32000</v>
      </c>
      <c r="I27" s="32">
        <v>1</v>
      </c>
      <c r="J27" s="81">
        <v>32000</v>
      </c>
    </row>
    <row r="28" spans="1:10" ht="62.25" customHeight="1">
      <c r="A28" s="6" t="s">
        <v>163</v>
      </c>
      <c r="B28" s="6" t="s">
        <v>164</v>
      </c>
      <c r="C28" s="6" t="s">
        <v>165</v>
      </c>
      <c r="D28" s="11" t="s">
        <v>166</v>
      </c>
      <c r="E28" s="11" t="s">
        <v>3</v>
      </c>
      <c r="F28" s="11" t="s">
        <v>68</v>
      </c>
      <c r="G28" s="81">
        <v>12000</v>
      </c>
      <c r="H28" s="81">
        <v>12000</v>
      </c>
      <c r="I28" s="34">
        <v>1</v>
      </c>
      <c r="J28" s="81">
        <v>12000</v>
      </c>
    </row>
    <row r="29" spans="1:10" s="10" customFormat="1">
      <c r="A29" s="5" t="s">
        <v>167</v>
      </c>
      <c r="B29" s="5"/>
      <c r="C29" s="5"/>
      <c r="D29" s="268" t="s">
        <v>168</v>
      </c>
      <c r="E29" s="269"/>
      <c r="F29" s="70"/>
      <c r="G29" s="84">
        <f>G30</f>
        <v>12287400</v>
      </c>
      <c r="H29" s="84">
        <f>H30</f>
        <v>3787400</v>
      </c>
      <c r="I29" s="33"/>
      <c r="J29" s="84">
        <f>J30</f>
        <v>3787400</v>
      </c>
    </row>
    <row r="30" spans="1:10" s="10" customFormat="1">
      <c r="A30" s="5" t="s">
        <v>169</v>
      </c>
      <c r="B30" s="5"/>
      <c r="C30" s="5"/>
      <c r="D30" s="268" t="s">
        <v>168</v>
      </c>
      <c r="E30" s="269"/>
      <c r="F30" s="70"/>
      <c r="G30" s="84">
        <f>G31+G32+G33+G34</f>
        <v>12287400</v>
      </c>
      <c r="H30" s="84">
        <f>H31+H32+H33+H34</f>
        <v>3787400</v>
      </c>
      <c r="I30" s="84"/>
      <c r="J30" s="84">
        <f>J31+J32+J33+J34</f>
        <v>3787400</v>
      </c>
    </row>
    <row r="31" spans="1:10" ht="37.5">
      <c r="A31" s="6" t="s">
        <v>170</v>
      </c>
      <c r="B31" s="6" t="s">
        <v>171</v>
      </c>
      <c r="C31" s="6" t="s">
        <v>172</v>
      </c>
      <c r="D31" s="7" t="s">
        <v>173</v>
      </c>
      <c r="E31" s="85" t="s">
        <v>3</v>
      </c>
      <c r="F31" s="85" t="s">
        <v>68</v>
      </c>
      <c r="G31" s="81">
        <v>1738200</v>
      </c>
      <c r="H31" s="82">
        <v>1738200</v>
      </c>
      <c r="I31" s="32">
        <v>1</v>
      </c>
      <c r="J31" s="81">
        <v>1738200</v>
      </c>
    </row>
    <row r="32" spans="1:10" ht="37.5">
      <c r="A32" s="6" t="s">
        <v>174</v>
      </c>
      <c r="B32" s="6" t="s">
        <v>175</v>
      </c>
      <c r="C32" s="6" t="s">
        <v>172</v>
      </c>
      <c r="D32" s="7" t="s">
        <v>176</v>
      </c>
      <c r="E32" s="22" t="s">
        <v>3</v>
      </c>
      <c r="F32" s="22" t="s">
        <v>68</v>
      </c>
      <c r="G32" s="81">
        <v>94500</v>
      </c>
      <c r="H32" s="82">
        <v>94500</v>
      </c>
      <c r="I32" s="32">
        <v>1</v>
      </c>
      <c r="J32" s="81">
        <v>94500</v>
      </c>
    </row>
    <row r="33" spans="1:10" ht="75">
      <c r="A33" s="6" t="s">
        <v>177</v>
      </c>
      <c r="B33" s="6" t="s">
        <v>178</v>
      </c>
      <c r="C33" s="6" t="s">
        <v>179</v>
      </c>
      <c r="D33" s="7" t="s">
        <v>180</v>
      </c>
      <c r="E33" s="22" t="s">
        <v>3</v>
      </c>
      <c r="F33" s="22" t="s">
        <v>68</v>
      </c>
      <c r="G33" s="81">
        <v>454700</v>
      </c>
      <c r="H33" s="82">
        <v>454700</v>
      </c>
      <c r="I33" s="32">
        <v>1</v>
      </c>
      <c r="J33" s="81">
        <v>454700</v>
      </c>
    </row>
    <row r="34" spans="1:10" ht="56.25">
      <c r="A34" s="6" t="s">
        <v>181</v>
      </c>
      <c r="B34" s="6" t="s">
        <v>52</v>
      </c>
      <c r="C34" s="6" t="s">
        <v>10</v>
      </c>
      <c r="D34" s="7" t="s">
        <v>35</v>
      </c>
      <c r="E34" s="83" t="s">
        <v>182</v>
      </c>
      <c r="F34" s="83" t="s">
        <v>68</v>
      </c>
      <c r="G34" s="81">
        <v>10000000</v>
      </c>
      <c r="H34" s="82">
        <f>10000000-8500000</f>
        <v>1500000</v>
      </c>
      <c r="I34" s="32">
        <v>0.15</v>
      </c>
      <c r="J34" s="81">
        <f>10000000-8500000</f>
        <v>1500000</v>
      </c>
    </row>
    <row r="35" spans="1:10" s="10" customFormat="1" ht="43.5" customHeight="1">
      <c r="A35" s="5" t="s">
        <v>183</v>
      </c>
      <c r="B35" s="5"/>
      <c r="C35" s="5"/>
      <c r="D35" s="268" t="s">
        <v>184</v>
      </c>
      <c r="E35" s="269"/>
      <c r="F35" s="70"/>
      <c r="G35" s="84">
        <f>G36</f>
        <v>10000</v>
      </c>
      <c r="H35" s="84">
        <f t="shared" ref="H35:J36" si="0">H36</f>
        <v>10000</v>
      </c>
      <c r="I35" s="33"/>
      <c r="J35" s="84">
        <f t="shared" si="0"/>
        <v>10000</v>
      </c>
    </row>
    <row r="36" spans="1:10" s="10" customFormat="1" ht="52.5" customHeight="1">
      <c r="A36" s="5" t="s">
        <v>185</v>
      </c>
      <c r="B36" s="5"/>
      <c r="C36" s="5"/>
      <c r="D36" s="268" t="s">
        <v>184</v>
      </c>
      <c r="E36" s="269"/>
      <c r="F36" s="70"/>
      <c r="G36" s="84">
        <f>G37</f>
        <v>10000</v>
      </c>
      <c r="H36" s="84">
        <f t="shared" si="0"/>
        <v>10000</v>
      </c>
      <c r="I36" s="33"/>
      <c r="J36" s="84">
        <f t="shared" si="0"/>
        <v>10000</v>
      </c>
    </row>
    <row r="37" spans="1:10" ht="93.75">
      <c r="A37" s="6" t="s">
        <v>186</v>
      </c>
      <c r="B37" s="6" t="s">
        <v>161</v>
      </c>
      <c r="C37" s="6" t="s">
        <v>141</v>
      </c>
      <c r="D37" s="7" t="s">
        <v>162</v>
      </c>
      <c r="E37" s="22" t="s">
        <v>3</v>
      </c>
      <c r="F37" s="22" t="s">
        <v>68</v>
      </c>
      <c r="G37" s="81">
        <v>10000</v>
      </c>
      <c r="H37" s="82">
        <v>10000</v>
      </c>
      <c r="I37" s="32">
        <v>1</v>
      </c>
      <c r="J37" s="81">
        <v>10000</v>
      </c>
    </row>
    <row r="38" spans="1:10" s="10" customFormat="1" ht="49.5" customHeight="1">
      <c r="A38" s="5" t="s">
        <v>30</v>
      </c>
      <c r="B38" s="5"/>
      <c r="C38" s="5"/>
      <c r="D38" s="268" t="s">
        <v>6</v>
      </c>
      <c r="E38" s="269"/>
      <c r="F38" s="70"/>
      <c r="G38" s="84">
        <f>G39</f>
        <v>61969600</v>
      </c>
      <c r="H38" s="84">
        <f>H39</f>
        <v>61969600</v>
      </c>
      <c r="I38" s="33"/>
      <c r="J38" s="84">
        <f>J39</f>
        <v>53669600</v>
      </c>
    </row>
    <row r="39" spans="1:10" s="10" customFormat="1" ht="48" customHeight="1">
      <c r="A39" s="5" t="s">
        <v>31</v>
      </c>
      <c r="B39" s="5"/>
      <c r="C39" s="5"/>
      <c r="D39" s="268" t="s">
        <v>6</v>
      </c>
      <c r="E39" s="269"/>
      <c r="F39" s="70"/>
      <c r="G39" s="84">
        <f>G40+G41+G59+G64+G67+G82+G83+G84+G115+G119+G136</f>
        <v>61969600</v>
      </c>
      <c r="H39" s="84">
        <f>H40+H41+H59+H64+H67+H82+H83+H84+H115+H119+H136</f>
        <v>61969600</v>
      </c>
      <c r="I39" s="84"/>
      <c r="J39" s="84">
        <f>J40+J41+J59+J64+J67+J82+J83+J84+J115+J119+J136</f>
        <v>53669600</v>
      </c>
    </row>
    <row r="40" spans="1:10" ht="93.75" customHeight="1">
      <c r="A40" s="6" t="s">
        <v>187</v>
      </c>
      <c r="B40" s="6" t="s">
        <v>161</v>
      </c>
      <c r="C40" s="6" t="s">
        <v>141</v>
      </c>
      <c r="D40" s="7" t="s">
        <v>162</v>
      </c>
      <c r="E40" s="22" t="s">
        <v>3</v>
      </c>
      <c r="F40" s="22" t="s">
        <v>68</v>
      </c>
      <c r="G40" s="81">
        <f>10000+4000</f>
        <v>14000</v>
      </c>
      <c r="H40" s="81">
        <f>10000+4000</f>
        <v>14000</v>
      </c>
      <c r="I40" s="34">
        <v>1</v>
      </c>
      <c r="J40" s="81">
        <f>10000+4000</f>
        <v>14000</v>
      </c>
    </row>
    <row r="41" spans="1:10" ht="21" customHeight="1">
      <c r="A41" s="271" t="s">
        <v>37</v>
      </c>
      <c r="B41" s="271" t="s">
        <v>36</v>
      </c>
      <c r="C41" s="271" t="s">
        <v>7</v>
      </c>
      <c r="D41" s="283" t="s">
        <v>38</v>
      </c>
      <c r="E41" s="27" t="s">
        <v>55</v>
      </c>
      <c r="F41" s="27"/>
      <c r="G41" s="84">
        <f>G42+G58</f>
        <v>10850000</v>
      </c>
      <c r="H41" s="84">
        <f>H42+H58</f>
        <v>10850000</v>
      </c>
      <c r="I41" s="33"/>
      <c r="J41" s="84">
        <f>J42+J58</f>
        <v>10850000</v>
      </c>
    </row>
    <row r="42" spans="1:10" ht="93.75">
      <c r="A42" s="272"/>
      <c r="B42" s="272"/>
      <c r="C42" s="272"/>
      <c r="D42" s="284"/>
      <c r="E42" s="22" t="s">
        <v>74</v>
      </c>
      <c r="F42" s="22" t="s">
        <v>68</v>
      </c>
      <c r="G42" s="81">
        <f>G43+G44+G45+G46+G47+G48+G49+G50+G51+G52+G53+G54+G55+G56+G57</f>
        <v>8850000</v>
      </c>
      <c r="H42" s="81">
        <f>H43+H44+H45+H46+H47+H48+H49+H50+H51+H52+H53+H54+H55+H56+H57</f>
        <v>8850000</v>
      </c>
      <c r="I42" s="34">
        <v>1</v>
      </c>
      <c r="J42" s="81">
        <f>J43+J44+J45+J46+J47+J48+J49+J50+J51+J52+J53+J54+J55+J56+J57</f>
        <v>8850000</v>
      </c>
    </row>
    <row r="43" spans="1:10" ht="56.25">
      <c r="A43" s="272"/>
      <c r="B43" s="272"/>
      <c r="C43" s="272"/>
      <c r="D43" s="284"/>
      <c r="E43" s="42" t="s">
        <v>188</v>
      </c>
      <c r="F43" s="42" t="s">
        <v>68</v>
      </c>
      <c r="G43" s="87">
        <v>670000</v>
      </c>
      <c r="H43" s="87">
        <v>670000</v>
      </c>
      <c r="I43" s="40">
        <v>1</v>
      </c>
      <c r="J43" s="87">
        <v>670000</v>
      </c>
    </row>
    <row r="44" spans="1:10" ht="75">
      <c r="A44" s="272"/>
      <c r="B44" s="272"/>
      <c r="C44" s="272"/>
      <c r="D44" s="284"/>
      <c r="E44" s="42" t="s">
        <v>189</v>
      </c>
      <c r="F44" s="42" t="s">
        <v>68</v>
      </c>
      <c r="G44" s="87">
        <v>250000</v>
      </c>
      <c r="H44" s="87">
        <v>250000</v>
      </c>
      <c r="I44" s="40">
        <v>1</v>
      </c>
      <c r="J44" s="87">
        <v>250000</v>
      </c>
    </row>
    <row r="45" spans="1:10" ht="75">
      <c r="A45" s="272"/>
      <c r="B45" s="272"/>
      <c r="C45" s="272"/>
      <c r="D45" s="284"/>
      <c r="E45" s="42" t="s">
        <v>190</v>
      </c>
      <c r="F45" s="42" t="s">
        <v>68</v>
      </c>
      <c r="G45" s="87">
        <v>300000</v>
      </c>
      <c r="H45" s="87">
        <v>300000</v>
      </c>
      <c r="I45" s="40">
        <v>1</v>
      </c>
      <c r="J45" s="87">
        <v>300000</v>
      </c>
    </row>
    <row r="46" spans="1:10" ht="75">
      <c r="A46" s="272"/>
      <c r="B46" s="272"/>
      <c r="C46" s="272"/>
      <c r="D46" s="284"/>
      <c r="E46" s="42" t="s">
        <v>191</v>
      </c>
      <c r="F46" s="42" t="s">
        <v>68</v>
      </c>
      <c r="G46" s="87">
        <v>300000</v>
      </c>
      <c r="H46" s="87">
        <v>300000</v>
      </c>
      <c r="I46" s="40">
        <v>1</v>
      </c>
      <c r="J46" s="87">
        <v>300000</v>
      </c>
    </row>
    <row r="47" spans="1:10" ht="75">
      <c r="A47" s="272"/>
      <c r="B47" s="272"/>
      <c r="C47" s="272"/>
      <c r="D47" s="284"/>
      <c r="E47" s="42" t="s">
        <v>192</v>
      </c>
      <c r="F47" s="42" t="s">
        <v>68</v>
      </c>
      <c r="G47" s="87">
        <v>250000</v>
      </c>
      <c r="H47" s="87">
        <v>250000</v>
      </c>
      <c r="I47" s="40">
        <v>1</v>
      </c>
      <c r="J47" s="87">
        <v>250000</v>
      </c>
    </row>
    <row r="48" spans="1:10" ht="56.25">
      <c r="A48" s="272"/>
      <c r="B48" s="272"/>
      <c r="C48" s="272"/>
      <c r="D48" s="284"/>
      <c r="E48" s="42" t="s">
        <v>193</v>
      </c>
      <c r="F48" s="42" t="s">
        <v>68</v>
      </c>
      <c r="G48" s="87">
        <v>450000</v>
      </c>
      <c r="H48" s="87">
        <v>450000</v>
      </c>
      <c r="I48" s="40">
        <v>1</v>
      </c>
      <c r="J48" s="87">
        <v>450000</v>
      </c>
    </row>
    <row r="49" spans="1:10" ht="56.25">
      <c r="A49" s="272"/>
      <c r="B49" s="272"/>
      <c r="C49" s="272"/>
      <c r="D49" s="284"/>
      <c r="E49" s="42" t="s">
        <v>194</v>
      </c>
      <c r="F49" s="42" t="s">
        <v>68</v>
      </c>
      <c r="G49" s="87">
        <v>620000</v>
      </c>
      <c r="H49" s="87">
        <v>620000</v>
      </c>
      <c r="I49" s="40">
        <v>1</v>
      </c>
      <c r="J49" s="87">
        <v>620000</v>
      </c>
    </row>
    <row r="50" spans="1:10" ht="56.25">
      <c r="A50" s="272"/>
      <c r="B50" s="272"/>
      <c r="C50" s="272"/>
      <c r="D50" s="284"/>
      <c r="E50" s="42" t="s">
        <v>195</v>
      </c>
      <c r="F50" s="42" t="s">
        <v>68</v>
      </c>
      <c r="G50" s="87">
        <v>750000</v>
      </c>
      <c r="H50" s="87">
        <v>750000</v>
      </c>
      <c r="I50" s="40">
        <v>1</v>
      </c>
      <c r="J50" s="87">
        <v>750000</v>
      </c>
    </row>
    <row r="51" spans="1:10" ht="56.25">
      <c r="A51" s="272"/>
      <c r="B51" s="272"/>
      <c r="C51" s="272"/>
      <c r="D51" s="284"/>
      <c r="E51" s="42" t="s">
        <v>196</v>
      </c>
      <c r="F51" s="42" t="s">
        <v>68</v>
      </c>
      <c r="G51" s="87">
        <v>330000</v>
      </c>
      <c r="H51" s="87">
        <v>330000</v>
      </c>
      <c r="I51" s="40">
        <v>1</v>
      </c>
      <c r="J51" s="87">
        <v>330000</v>
      </c>
    </row>
    <row r="52" spans="1:10" ht="57" customHeight="1">
      <c r="A52" s="272"/>
      <c r="B52" s="272"/>
      <c r="C52" s="272"/>
      <c r="D52" s="284"/>
      <c r="E52" s="42" t="s">
        <v>197</v>
      </c>
      <c r="F52" s="42" t="s">
        <v>68</v>
      </c>
      <c r="G52" s="87">
        <v>780000</v>
      </c>
      <c r="H52" s="87">
        <v>780000</v>
      </c>
      <c r="I52" s="40">
        <v>1</v>
      </c>
      <c r="J52" s="87">
        <v>780000</v>
      </c>
    </row>
    <row r="53" spans="1:10" ht="56.25" customHeight="1">
      <c r="A53" s="272"/>
      <c r="B53" s="272"/>
      <c r="C53" s="272"/>
      <c r="D53" s="284"/>
      <c r="E53" s="42" t="s">
        <v>198</v>
      </c>
      <c r="F53" s="42" t="s">
        <v>68</v>
      </c>
      <c r="G53" s="87">
        <v>750000</v>
      </c>
      <c r="H53" s="87">
        <v>750000</v>
      </c>
      <c r="I53" s="40">
        <v>1</v>
      </c>
      <c r="J53" s="87">
        <v>750000</v>
      </c>
    </row>
    <row r="54" spans="1:10" ht="42" customHeight="1">
      <c r="A54" s="272"/>
      <c r="B54" s="272"/>
      <c r="C54" s="272"/>
      <c r="D54" s="284"/>
      <c r="E54" s="42" t="s">
        <v>199</v>
      </c>
      <c r="F54" s="42" t="s">
        <v>68</v>
      </c>
      <c r="G54" s="87">
        <v>1000000</v>
      </c>
      <c r="H54" s="87">
        <v>1000000</v>
      </c>
      <c r="I54" s="40">
        <v>1</v>
      </c>
      <c r="J54" s="87">
        <v>1000000</v>
      </c>
    </row>
    <row r="55" spans="1:10" ht="42" customHeight="1">
      <c r="A55" s="272"/>
      <c r="B55" s="272"/>
      <c r="C55" s="272"/>
      <c r="D55" s="284"/>
      <c r="E55" s="42" t="s">
        <v>200</v>
      </c>
      <c r="F55" s="42" t="s">
        <v>68</v>
      </c>
      <c r="G55" s="87">
        <v>1000000</v>
      </c>
      <c r="H55" s="87">
        <v>1000000</v>
      </c>
      <c r="I55" s="40">
        <v>1</v>
      </c>
      <c r="J55" s="87">
        <v>1000000</v>
      </c>
    </row>
    <row r="56" spans="1:10" ht="56.25">
      <c r="A56" s="272"/>
      <c r="B56" s="272"/>
      <c r="C56" s="272"/>
      <c r="D56" s="284"/>
      <c r="E56" s="42" t="s">
        <v>201</v>
      </c>
      <c r="F56" s="42" t="s">
        <v>68</v>
      </c>
      <c r="G56" s="87">
        <v>600000</v>
      </c>
      <c r="H56" s="87">
        <v>600000</v>
      </c>
      <c r="I56" s="40">
        <v>1</v>
      </c>
      <c r="J56" s="87">
        <v>600000</v>
      </c>
    </row>
    <row r="57" spans="1:10" ht="38.25" customHeight="1">
      <c r="A57" s="272"/>
      <c r="B57" s="272"/>
      <c r="C57" s="272"/>
      <c r="D57" s="284"/>
      <c r="E57" s="42" t="s">
        <v>202</v>
      </c>
      <c r="F57" s="42" t="s">
        <v>68</v>
      </c>
      <c r="G57" s="87">
        <v>800000</v>
      </c>
      <c r="H57" s="87">
        <v>800000</v>
      </c>
      <c r="I57" s="40">
        <v>1</v>
      </c>
      <c r="J57" s="87">
        <v>800000</v>
      </c>
    </row>
    <row r="58" spans="1:10" ht="212.25" customHeight="1">
      <c r="A58" s="273"/>
      <c r="B58" s="273"/>
      <c r="C58" s="273"/>
      <c r="D58" s="285"/>
      <c r="E58" s="22" t="s">
        <v>203</v>
      </c>
      <c r="F58" s="22" t="s">
        <v>68</v>
      </c>
      <c r="G58" s="81">
        <v>2000000</v>
      </c>
      <c r="H58" s="81">
        <v>2000000</v>
      </c>
      <c r="I58" s="34">
        <v>1</v>
      </c>
      <c r="J58" s="81">
        <v>2000000</v>
      </c>
    </row>
    <row r="59" spans="1:10" ht="41.25" hidden="1" customHeight="1">
      <c r="A59" s="271" t="s">
        <v>40</v>
      </c>
      <c r="B59" s="271" t="s">
        <v>39</v>
      </c>
      <c r="C59" s="271" t="s">
        <v>8</v>
      </c>
      <c r="D59" s="283" t="s">
        <v>41</v>
      </c>
      <c r="E59" s="92" t="s">
        <v>204</v>
      </c>
      <c r="F59" s="92" t="s">
        <v>68</v>
      </c>
      <c r="G59" s="81">
        <f>G60+G61+G62+G63</f>
        <v>0</v>
      </c>
      <c r="H59" s="81">
        <v>0</v>
      </c>
      <c r="I59" s="81"/>
      <c r="J59" s="81">
        <f t="shared" ref="J59" si="1">J60+J61+J62+J63</f>
        <v>0</v>
      </c>
    </row>
    <row r="60" spans="1:10" ht="94.5" hidden="1">
      <c r="A60" s="272"/>
      <c r="B60" s="272"/>
      <c r="C60" s="272"/>
      <c r="D60" s="284"/>
      <c r="E60" s="93" t="s">
        <v>205</v>
      </c>
      <c r="F60" s="42" t="s">
        <v>68</v>
      </c>
      <c r="G60" s="88">
        <v>0</v>
      </c>
      <c r="H60" s="88">
        <v>0</v>
      </c>
      <c r="I60" s="40">
        <v>1</v>
      </c>
      <c r="J60" s="88">
        <v>0</v>
      </c>
    </row>
    <row r="61" spans="1:10" ht="94.5" hidden="1">
      <c r="A61" s="272"/>
      <c r="B61" s="272"/>
      <c r="C61" s="272"/>
      <c r="D61" s="284"/>
      <c r="E61" s="93" t="s">
        <v>206</v>
      </c>
      <c r="F61" s="42" t="s">
        <v>68</v>
      </c>
      <c r="G61" s="88">
        <v>0</v>
      </c>
      <c r="H61" s="88">
        <v>0</v>
      </c>
      <c r="I61" s="40">
        <v>1</v>
      </c>
      <c r="J61" s="88">
        <v>0</v>
      </c>
    </row>
    <row r="62" spans="1:10" ht="94.5" hidden="1">
      <c r="A62" s="272"/>
      <c r="B62" s="272"/>
      <c r="C62" s="272"/>
      <c r="D62" s="284"/>
      <c r="E62" s="93" t="s">
        <v>207</v>
      </c>
      <c r="F62" s="42" t="s">
        <v>68</v>
      </c>
      <c r="G62" s="88">
        <v>0</v>
      </c>
      <c r="H62" s="88">
        <v>0</v>
      </c>
      <c r="I62" s="40">
        <v>1</v>
      </c>
      <c r="J62" s="88">
        <v>0</v>
      </c>
    </row>
    <row r="63" spans="1:10" ht="94.5" hidden="1">
      <c r="A63" s="272"/>
      <c r="B63" s="272"/>
      <c r="C63" s="272"/>
      <c r="D63" s="284"/>
      <c r="E63" s="93" t="s">
        <v>208</v>
      </c>
      <c r="F63" s="42" t="s">
        <v>68</v>
      </c>
      <c r="G63" s="88">
        <v>0</v>
      </c>
      <c r="H63" s="88">
        <v>0</v>
      </c>
      <c r="I63" s="40">
        <v>1</v>
      </c>
      <c r="J63" s="88">
        <v>0</v>
      </c>
    </row>
    <row r="64" spans="1:10" ht="54.75" customHeight="1">
      <c r="A64" s="271" t="s">
        <v>209</v>
      </c>
      <c r="B64" s="271" t="s">
        <v>210</v>
      </c>
      <c r="C64" s="271" t="s">
        <v>8</v>
      </c>
      <c r="D64" s="283" t="s">
        <v>211</v>
      </c>
      <c r="E64" s="22" t="s">
        <v>212</v>
      </c>
      <c r="F64" s="22" t="s">
        <v>68</v>
      </c>
      <c r="G64" s="81">
        <v>2000000</v>
      </c>
      <c r="H64" s="81">
        <v>2000000</v>
      </c>
      <c r="I64" s="34">
        <v>1</v>
      </c>
      <c r="J64" s="81">
        <v>2000000</v>
      </c>
    </row>
    <row r="65" spans="1:10" ht="66.75" customHeight="1">
      <c r="A65" s="272"/>
      <c r="B65" s="272"/>
      <c r="C65" s="272"/>
      <c r="D65" s="284"/>
      <c r="E65" s="94" t="s">
        <v>213</v>
      </c>
      <c r="F65" s="42" t="s">
        <v>68</v>
      </c>
      <c r="G65" s="87">
        <v>104900</v>
      </c>
      <c r="H65" s="87">
        <v>104900</v>
      </c>
      <c r="I65" s="40">
        <v>1</v>
      </c>
      <c r="J65" s="87">
        <v>104900</v>
      </c>
    </row>
    <row r="66" spans="1:10" ht="93.75">
      <c r="A66" s="272"/>
      <c r="B66" s="272"/>
      <c r="C66" s="272"/>
      <c r="D66" s="284"/>
      <c r="E66" s="94" t="s">
        <v>214</v>
      </c>
      <c r="F66" s="42" t="s">
        <v>68</v>
      </c>
      <c r="G66" s="87">
        <v>1895100</v>
      </c>
      <c r="H66" s="87">
        <v>1895100</v>
      </c>
      <c r="I66" s="40">
        <v>1</v>
      </c>
      <c r="J66" s="87">
        <v>1895100</v>
      </c>
    </row>
    <row r="67" spans="1:10" ht="22.5" customHeight="1">
      <c r="A67" s="271" t="s">
        <v>215</v>
      </c>
      <c r="B67" s="271" t="s">
        <v>216</v>
      </c>
      <c r="C67" s="271" t="s">
        <v>8</v>
      </c>
      <c r="D67" s="283" t="s">
        <v>217</v>
      </c>
      <c r="E67" s="23" t="s">
        <v>218</v>
      </c>
      <c r="F67" s="23" t="s">
        <v>68</v>
      </c>
      <c r="G67" s="81">
        <v>10000000</v>
      </c>
      <c r="H67" s="81">
        <v>10000000</v>
      </c>
      <c r="I67" s="34">
        <v>1</v>
      </c>
      <c r="J67" s="81">
        <v>10000000</v>
      </c>
    </row>
    <row r="68" spans="1:10" ht="37.5">
      <c r="A68" s="272"/>
      <c r="B68" s="272"/>
      <c r="C68" s="272"/>
      <c r="D68" s="284"/>
      <c r="E68" s="94" t="s">
        <v>219</v>
      </c>
      <c r="F68" s="94" t="s">
        <v>68</v>
      </c>
      <c r="G68" s="87">
        <v>370000</v>
      </c>
      <c r="H68" s="87">
        <v>370000</v>
      </c>
      <c r="I68" s="40">
        <v>1</v>
      </c>
      <c r="J68" s="87">
        <v>370000</v>
      </c>
    </row>
    <row r="69" spans="1:10" ht="37.5">
      <c r="A69" s="272"/>
      <c r="B69" s="272"/>
      <c r="C69" s="272"/>
      <c r="D69" s="284"/>
      <c r="E69" s="94" t="s">
        <v>220</v>
      </c>
      <c r="F69" s="94" t="s">
        <v>68</v>
      </c>
      <c r="G69" s="87">
        <v>370000</v>
      </c>
      <c r="H69" s="87">
        <v>370000</v>
      </c>
      <c r="I69" s="40">
        <v>1</v>
      </c>
      <c r="J69" s="87">
        <v>370000</v>
      </c>
    </row>
    <row r="70" spans="1:10" ht="56.25">
      <c r="A70" s="272"/>
      <c r="B70" s="272"/>
      <c r="C70" s="272"/>
      <c r="D70" s="284"/>
      <c r="E70" s="94" t="s">
        <v>221</v>
      </c>
      <c r="F70" s="94" t="s">
        <v>68</v>
      </c>
      <c r="G70" s="87">
        <v>650000</v>
      </c>
      <c r="H70" s="87">
        <v>650000</v>
      </c>
      <c r="I70" s="40">
        <v>1</v>
      </c>
      <c r="J70" s="87">
        <v>650000</v>
      </c>
    </row>
    <row r="71" spans="1:10" ht="56.25">
      <c r="A71" s="272"/>
      <c r="B71" s="272"/>
      <c r="C71" s="272"/>
      <c r="D71" s="284"/>
      <c r="E71" s="94" t="s">
        <v>222</v>
      </c>
      <c r="F71" s="94" t="s">
        <v>68</v>
      </c>
      <c r="G71" s="87">
        <v>1480000</v>
      </c>
      <c r="H71" s="87">
        <v>1480000</v>
      </c>
      <c r="I71" s="40">
        <v>1</v>
      </c>
      <c r="J71" s="87">
        <v>1480000</v>
      </c>
    </row>
    <row r="72" spans="1:10" ht="39" customHeight="1">
      <c r="A72" s="272"/>
      <c r="B72" s="272"/>
      <c r="C72" s="272"/>
      <c r="D72" s="284"/>
      <c r="E72" s="94" t="s">
        <v>223</v>
      </c>
      <c r="F72" s="94" t="s">
        <v>68</v>
      </c>
      <c r="G72" s="87">
        <v>1110000</v>
      </c>
      <c r="H72" s="87">
        <v>1110000</v>
      </c>
      <c r="I72" s="40">
        <v>1</v>
      </c>
      <c r="J72" s="87">
        <v>1110000</v>
      </c>
    </row>
    <row r="73" spans="1:10" ht="56.25">
      <c r="A73" s="272"/>
      <c r="B73" s="272"/>
      <c r="C73" s="272"/>
      <c r="D73" s="284"/>
      <c r="E73" s="94" t="s">
        <v>224</v>
      </c>
      <c r="F73" s="94" t="s">
        <v>68</v>
      </c>
      <c r="G73" s="87">
        <v>1110000</v>
      </c>
      <c r="H73" s="87">
        <v>1110000</v>
      </c>
      <c r="I73" s="40">
        <v>1</v>
      </c>
      <c r="J73" s="87">
        <v>1110000</v>
      </c>
    </row>
    <row r="74" spans="1:10" ht="37.5">
      <c r="A74" s="272"/>
      <c r="B74" s="272"/>
      <c r="C74" s="272"/>
      <c r="D74" s="284"/>
      <c r="E74" s="94" t="s">
        <v>225</v>
      </c>
      <c r="F74" s="94" t="s">
        <v>68</v>
      </c>
      <c r="G74" s="87">
        <v>740000</v>
      </c>
      <c r="H74" s="87">
        <v>740000</v>
      </c>
      <c r="I74" s="40">
        <v>1</v>
      </c>
      <c r="J74" s="87">
        <v>740000</v>
      </c>
    </row>
    <row r="75" spans="1:10" ht="56.25">
      <c r="A75" s="272"/>
      <c r="B75" s="272"/>
      <c r="C75" s="272"/>
      <c r="D75" s="284"/>
      <c r="E75" s="94" t="s">
        <v>226</v>
      </c>
      <c r="F75" s="94" t="s">
        <v>68</v>
      </c>
      <c r="G75" s="87">
        <v>650000</v>
      </c>
      <c r="H75" s="87">
        <v>650000</v>
      </c>
      <c r="I75" s="40">
        <v>1</v>
      </c>
      <c r="J75" s="87">
        <v>650000</v>
      </c>
    </row>
    <row r="76" spans="1:10" ht="56.25">
      <c r="A76" s="272"/>
      <c r="B76" s="272"/>
      <c r="C76" s="272"/>
      <c r="D76" s="284"/>
      <c r="E76" s="94" t="s">
        <v>227</v>
      </c>
      <c r="F76" s="94" t="s">
        <v>68</v>
      </c>
      <c r="G76" s="87">
        <v>370000</v>
      </c>
      <c r="H76" s="87">
        <v>370000</v>
      </c>
      <c r="I76" s="40">
        <v>1</v>
      </c>
      <c r="J76" s="87">
        <v>370000</v>
      </c>
    </row>
    <row r="77" spans="1:10" ht="37.5">
      <c r="A77" s="272"/>
      <c r="B77" s="272"/>
      <c r="C77" s="272"/>
      <c r="D77" s="284"/>
      <c r="E77" s="94" t="s">
        <v>228</v>
      </c>
      <c r="F77" s="94" t="s">
        <v>68</v>
      </c>
      <c r="G77" s="87">
        <v>370000</v>
      </c>
      <c r="H77" s="87">
        <v>370000</v>
      </c>
      <c r="I77" s="40">
        <v>1</v>
      </c>
      <c r="J77" s="87">
        <v>370000</v>
      </c>
    </row>
    <row r="78" spans="1:10" ht="56.25">
      <c r="A78" s="272"/>
      <c r="B78" s="272"/>
      <c r="C78" s="272"/>
      <c r="D78" s="284"/>
      <c r="E78" s="94" t="s">
        <v>229</v>
      </c>
      <c r="F78" s="94" t="s">
        <v>68</v>
      </c>
      <c r="G78" s="87">
        <v>370000</v>
      </c>
      <c r="H78" s="87">
        <v>370000</v>
      </c>
      <c r="I78" s="40">
        <v>1</v>
      </c>
      <c r="J78" s="87">
        <v>370000</v>
      </c>
    </row>
    <row r="79" spans="1:10" ht="37.5">
      <c r="A79" s="272"/>
      <c r="B79" s="272"/>
      <c r="C79" s="272"/>
      <c r="D79" s="284"/>
      <c r="E79" s="94" t="s">
        <v>230</v>
      </c>
      <c r="F79" s="94" t="s">
        <v>68</v>
      </c>
      <c r="G79" s="87">
        <v>650000</v>
      </c>
      <c r="H79" s="87">
        <v>650000</v>
      </c>
      <c r="I79" s="40">
        <v>1</v>
      </c>
      <c r="J79" s="87">
        <v>650000</v>
      </c>
    </row>
    <row r="80" spans="1:10" ht="63.75" customHeight="1">
      <c r="A80" s="272"/>
      <c r="B80" s="272"/>
      <c r="C80" s="272"/>
      <c r="D80" s="284"/>
      <c r="E80" s="94" t="s">
        <v>231</v>
      </c>
      <c r="F80" s="94" t="s">
        <v>68</v>
      </c>
      <c r="G80" s="87">
        <v>650000</v>
      </c>
      <c r="H80" s="87">
        <v>650000</v>
      </c>
      <c r="I80" s="40">
        <v>1</v>
      </c>
      <c r="J80" s="87">
        <v>650000</v>
      </c>
    </row>
    <row r="81" spans="1:10" ht="55.5" customHeight="1">
      <c r="A81" s="272"/>
      <c r="B81" s="272"/>
      <c r="C81" s="272"/>
      <c r="D81" s="284"/>
      <c r="E81" s="94" t="s">
        <v>232</v>
      </c>
      <c r="F81" s="94" t="s">
        <v>68</v>
      </c>
      <c r="G81" s="87">
        <v>1110000</v>
      </c>
      <c r="H81" s="87">
        <v>1110000</v>
      </c>
      <c r="I81" s="40">
        <v>1</v>
      </c>
      <c r="J81" s="87">
        <v>1110000</v>
      </c>
    </row>
    <row r="82" spans="1:10" ht="57.75" customHeight="1">
      <c r="A82" s="30" t="s">
        <v>233</v>
      </c>
      <c r="B82" s="30" t="s">
        <v>234</v>
      </c>
      <c r="C82" s="30" t="s">
        <v>8</v>
      </c>
      <c r="D82" s="7" t="s">
        <v>235</v>
      </c>
      <c r="E82" s="7" t="s">
        <v>236</v>
      </c>
      <c r="F82" s="23" t="s">
        <v>68</v>
      </c>
      <c r="G82" s="81">
        <v>3175600</v>
      </c>
      <c r="H82" s="81">
        <v>3175600</v>
      </c>
      <c r="I82" s="34">
        <v>1</v>
      </c>
      <c r="J82" s="81">
        <v>3175600</v>
      </c>
    </row>
    <row r="83" spans="1:10" ht="56.25">
      <c r="A83" s="30" t="s">
        <v>58</v>
      </c>
      <c r="B83" s="30" t="s">
        <v>57</v>
      </c>
      <c r="C83" s="30" t="s">
        <v>8</v>
      </c>
      <c r="D83" s="12" t="s">
        <v>56</v>
      </c>
      <c r="E83" s="23" t="s">
        <v>72</v>
      </c>
      <c r="F83" s="23" t="s">
        <v>68</v>
      </c>
      <c r="G83" s="81">
        <v>1340000</v>
      </c>
      <c r="H83" s="81">
        <v>1340000</v>
      </c>
      <c r="I83" s="34">
        <v>1</v>
      </c>
      <c r="J83" s="81">
        <v>1340000</v>
      </c>
    </row>
    <row r="84" spans="1:10" ht="30" customHeight="1">
      <c r="A84" s="271" t="s">
        <v>50</v>
      </c>
      <c r="B84" s="271" t="s">
        <v>23</v>
      </c>
      <c r="C84" s="271" t="s">
        <v>8</v>
      </c>
      <c r="D84" s="276" t="s">
        <v>73</v>
      </c>
      <c r="E84" s="277"/>
      <c r="F84" s="23" t="s">
        <v>68</v>
      </c>
      <c r="G84" s="81">
        <f>G85+G86+G91+G97+G98+G99+G100+G101+G102+G103+G104+G105+G106+G107+G108+G109+G110+G111+G112+G113+G114</f>
        <v>14600000</v>
      </c>
      <c r="H84" s="81">
        <f>H85+H86+H91+H97+H98+H99+H100+H101+H102+H103+H104+H105+H106+H107+H108+H109+H110+H111+H112+H113+H114</f>
        <v>14600000</v>
      </c>
      <c r="I84" s="34">
        <v>1</v>
      </c>
      <c r="J84" s="81">
        <f>J85+J86+J91+J97+J98+J99+J100+J101+J102+J103+J104+J105+J106+J107+J108+J109+J110+J111+J112+J113+J114</f>
        <v>12800000</v>
      </c>
    </row>
    <row r="85" spans="1:10" ht="37.5" customHeight="1">
      <c r="A85" s="272"/>
      <c r="B85" s="272"/>
      <c r="C85" s="272"/>
      <c r="D85" s="299"/>
      <c r="E85" s="118" t="s">
        <v>237</v>
      </c>
      <c r="F85" s="23" t="s">
        <v>68</v>
      </c>
      <c r="G85" s="81">
        <v>400000</v>
      </c>
      <c r="H85" s="81">
        <v>400000</v>
      </c>
      <c r="I85" s="34">
        <v>1</v>
      </c>
      <c r="J85" s="81">
        <v>400000</v>
      </c>
    </row>
    <row r="86" spans="1:10" ht="66.75" customHeight="1">
      <c r="A86" s="272"/>
      <c r="B86" s="272"/>
      <c r="C86" s="272"/>
      <c r="D86" s="301"/>
      <c r="E86" s="73" t="s">
        <v>238</v>
      </c>
      <c r="F86" s="23" t="s">
        <v>68</v>
      </c>
      <c r="G86" s="81">
        <f>G87+G88+G89+G90</f>
        <v>1200000</v>
      </c>
      <c r="H86" s="81">
        <f t="shared" ref="H86:J86" si="2">H87+H88+H89+H90</f>
        <v>1200000</v>
      </c>
      <c r="I86" s="40">
        <v>1</v>
      </c>
      <c r="J86" s="81">
        <f t="shared" si="2"/>
        <v>1200000</v>
      </c>
    </row>
    <row r="87" spans="1:10" ht="27" hidden="1" customHeight="1">
      <c r="A87" s="272"/>
      <c r="B87" s="272"/>
      <c r="C87" s="272"/>
      <c r="D87" s="301"/>
      <c r="E87" s="44" t="s">
        <v>239</v>
      </c>
      <c r="F87" s="94" t="s">
        <v>68</v>
      </c>
      <c r="G87" s="87">
        <v>0</v>
      </c>
      <c r="H87" s="87">
        <v>0</v>
      </c>
      <c r="I87" s="40">
        <v>1</v>
      </c>
      <c r="J87" s="87">
        <v>0</v>
      </c>
    </row>
    <row r="88" spans="1:10" ht="85.5" hidden="1" customHeight="1">
      <c r="A88" s="272"/>
      <c r="B88" s="272"/>
      <c r="C88" s="272"/>
      <c r="D88" s="301"/>
      <c r="E88" s="44" t="s">
        <v>240</v>
      </c>
      <c r="F88" s="94" t="s">
        <v>68</v>
      </c>
      <c r="G88" s="87">
        <v>0</v>
      </c>
      <c r="H88" s="87">
        <v>0</v>
      </c>
      <c r="I88" s="40">
        <v>1</v>
      </c>
      <c r="J88" s="87">
        <v>0</v>
      </c>
    </row>
    <row r="89" spans="1:10" ht="80.25" hidden="1" customHeight="1">
      <c r="A89" s="272"/>
      <c r="B89" s="272"/>
      <c r="C89" s="272"/>
      <c r="D89" s="301"/>
      <c r="E89" s="44" t="s">
        <v>241</v>
      </c>
      <c r="F89" s="94" t="s">
        <v>68</v>
      </c>
      <c r="G89" s="87">
        <v>0</v>
      </c>
      <c r="H89" s="87">
        <v>0</v>
      </c>
      <c r="I89" s="40">
        <v>1</v>
      </c>
      <c r="J89" s="87">
        <v>0</v>
      </c>
    </row>
    <row r="90" spans="1:10" ht="60" customHeight="1">
      <c r="A90" s="272"/>
      <c r="B90" s="272"/>
      <c r="C90" s="272"/>
      <c r="D90" s="301"/>
      <c r="E90" s="44" t="s">
        <v>242</v>
      </c>
      <c r="F90" s="94" t="s">
        <v>68</v>
      </c>
      <c r="G90" s="87">
        <v>1200000</v>
      </c>
      <c r="H90" s="87">
        <v>1200000</v>
      </c>
      <c r="I90" s="40">
        <v>1</v>
      </c>
      <c r="J90" s="87">
        <v>1200000</v>
      </c>
    </row>
    <row r="91" spans="1:10" ht="87" customHeight="1">
      <c r="A91" s="272"/>
      <c r="B91" s="272"/>
      <c r="C91" s="272"/>
      <c r="D91" s="301"/>
      <c r="E91" s="73" t="s">
        <v>243</v>
      </c>
      <c r="F91" s="23" t="s">
        <v>68</v>
      </c>
      <c r="G91" s="81">
        <f>G92+G93+G94+G95+G96</f>
        <v>2789000</v>
      </c>
      <c r="H91" s="81">
        <f t="shared" ref="H91:J91" si="3">H92+H93+H94+H95+H96</f>
        <v>2789000</v>
      </c>
      <c r="I91" s="40">
        <v>1</v>
      </c>
      <c r="J91" s="81">
        <f t="shared" si="3"/>
        <v>2789000</v>
      </c>
    </row>
    <row r="92" spans="1:10" ht="100.5" customHeight="1">
      <c r="A92" s="272"/>
      <c r="B92" s="272"/>
      <c r="C92" s="272"/>
      <c r="D92" s="301"/>
      <c r="E92" s="95" t="s">
        <v>244</v>
      </c>
      <c r="F92" s="94" t="s">
        <v>68</v>
      </c>
      <c r="G92" s="87">
        <v>939000</v>
      </c>
      <c r="H92" s="87">
        <v>939000</v>
      </c>
      <c r="I92" s="40">
        <v>1</v>
      </c>
      <c r="J92" s="87">
        <v>939000</v>
      </c>
    </row>
    <row r="93" spans="1:10" ht="82.5" customHeight="1">
      <c r="A93" s="272"/>
      <c r="B93" s="272"/>
      <c r="C93" s="272"/>
      <c r="D93" s="301"/>
      <c r="E93" s="95" t="s">
        <v>245</v>
      </c>
      <c r="F93" s="94" t="s">
        <v>68</v>
      </c>
      <c r="G93" s="87">
        <v>950000</v>
      </c>
      <c r="H93" s="87">
        <v>950000</v>
      </c>
      <c r="I93" s="40">
        <v>1</v>
      </c>
      <c r="J93" s="87">
        <v>950000</v>
      </c>
    </row>
    <row r="94" spans="1:10" ht="78.75" customHeight="1">
      <c r="A94" s="272"/>
      <c r="B94" s="272"/>
      <c r="C94" s="272"/>
      <c r="D94" s="301"/>
      <c r="E94" s="95" t="s">
        <v>246</v>
      </c>
      <c r="F94" s="94" t="s">
        <v>68</v>
      </c>
      <c r="G94" s="87">
        <v>500000</v>
      </c>
      <c r="H94" s="87">
        <v>500000</v>
      </c>
      <c r="I94" s="40">
        <v>1</v>
      </c>
      <c r="J94" s="87">
        <v>500000</v>
      </c>
    </row>
    <row r="95" spans="1:10" ht="59.25" customHeight="1">
      <c r="A95" s="272"/>
      <c r="B95" s="272"/>
      <c r="C95" s="272"/>
      <c r="D95" s="301"/>
      <c r="E95" s="95" t="s">
        <v>247</v>
      </c>
      <c r="F95" s="94" t="s">
        <v>68</v>
      </c>
      <c r="G95" s="87">
        <v>200000</v>
      </c>
      <c r="H95" s="87">
        <v>200000</v>
      </c>
      <c r="I95" s="40">
        <v>1</v>
      </c>
      <c r="J95" s="87">
        <v>200000</v>
      </c>
    </row>
    <row r="96" spans="1:10" ht="57.75" customHeight="1">
      <c r="A96" s="272"/>
      <c r="B96" s="272"/>
      <c r="C96" s="272"/>
      <c r="D96" s="301"/>
      <c r="E96" s="45" t="s">
        <v>248</v>
      </c>
      <c r="F96" s="94" t="s">
        <v>68</v>
      </c>
      <c r="G96" s="87">
        <v>200000</v>
      </c>
      <c r="H96" s="87">
        <v>200000</v>
      </c>
      <c r="I96" s="40">
        <v>1</v>
      </c>
      <c r="J96" s="87">
        <v>200000</v>
      </c>
    </row>
    <row r="97" spans="1:10" ht="56.25">
      <c r="A97" s="272"/>
      <c r="B97" s="272"/>
      <c r="C97" s="272"/>
      <c r="D97" s="301"/>
      <c r="E97" s="47" t="s">
        <v>249</v>
      </c>
      <c r="F97" s="23" t="s">
        <v>68</v>
      </c>
      <c r="G97" s="81">
        <v>450000</v>
      </c>
      <c r="H97" s="81">
        <v>450000</v>
      </c>
      <c r="I97" s="34">
        <v>1</v>
      </c>
      <c r="J97" s="81">
        <v>450000</v>
      </c>
    </row>
    <row r="98" spans="1:10" ht="56.25">
      <c r="A98" s="272"/>
      <c r="B98" s="272"/>
      <c r="C98" s="272"/>
      <c r="D98" s="301"/>
      <c r="E98" s="47" t="s">
        <v>250</v>
      </c>
      <c r="F98" s="23" t="s">
        <v>68</v>
      </c>
      <c r="G98" s="81">
        <v>600000</v>
      </c>
      <c r="H98" s="81">
        <v>600000</v>
      </c>
      <c r="I98" s="34">
        <v>1</v>
      </c>
      <c r="J98" s="81">
        <v>600000</v>
      </c>
    </row>
    <row r="99" spans="1:10" ht="60.75" customHeight="1">
      <c r="A99" s="272"/>
      <c r="B99" s="272"/>
      <c r="C99" s="272"/>
      <c r="D99" s="301"/>
      <c r="E99" s="47" t="s">
        <v>78</v>
      </c>
      <c r="F99" s="23" t="s">
        <v>68</v>
      </c>
      <c r="G99" s="81">
        <v>200000</v>
      </c>
      <c r="H99" s="81">
        <v>200000</v>
      </c>
      <c r="I99" s="34">
        <v>1</v>
      </c>
      <c r="J99" s="81">
        <v>200000</v>
      </c>
    </row>
    <row r="100" spans="1:10" ht="56.25">
      <c r="A100" s="272"/>
      <c r="B100" s="272"/>
      <c r="C100" s="272"/>
      <c r="D100" s="301"/>
      <c r="E100" s="47" t="s">
        <v>251</v>
      </c>
      <c r="F100" s="23" t="s">
        <v>68</v>
      </c>
      <c r="G100" s="81">
        <v>1000000</v>
      </c>
      <c r="H100" s="81">
        <v>1000000</v>
      </c>
      <c r="I100" s="34">
        <v>1</v>
      </c>
      <c r="J100" s="81">
        <v>1000000</v>
      </c>
    </row>
    <row r="101" spans="1:10" ht="40.5" customHeight="1">
      <c r="A101" s="272"/>
      <c r="B101" s="272"/>
      <c r="C101" s="272"/>
      <c r="D101" s="301"/>
      <c r="E101" s="47" t="s">
        <v>252</v>
      </c>
      <c r="F101" s="23" t="s">
        <v>68</v>
      </c>
      <c r="G101" s="81">
        <v>250000</v>
      </c>
      <c r="H101" s="81">
        <v>250000</v>
      </c>
      <c r="I101" s="34">
        <v>1</v>
      </c>
      <c r="J101" s="81">
        <v>250000</v>
      </c>
    </row>
    <row r="102" spans="1:10">
      <c r="A102" s="272"/>
      <c r="B102" s="272"/>
      <c r="C102" s="272"/>
      <c r="D102" s="301"/>
      <c r="E102" s="47" t="s">
        <v>253</v>
      </c>
      <c r="F102" s="23" t="s">
        <v>68</v>
      </c>
      <c r="G102" s="81">
        <v>600000</v>
      </c>
      <c r="H102" s="81">
        <v>600000</v>
      </c>
      <c r="I102" s="34">
        <v>1</v>
      </c>
      <c r="J102" s="81">
        <v>600000</v>
      </c>
    </row>
    <row r="103" spans="1:10" ht="37.5">
      <c r="A103" s="272"/>
      <c r="B103" s="272"/>
      <c r="C103" s="272"/>
      <c r="D103" s="301"/>
      <c r="E103" s="47" t="s">
        <v>254</v>
      </c>
      <c r="F103" s="23" t="s">
        <v>68</v>
      </c>
      <c r="G103" s="81">
        <v>561000</v>
      </c>
      <c r="H103" s="81">
        <v>561000</v>
      </c>
      <c r="I103" s="34">
        <v>1</v>
      </c>
      <c r="J103" s="81">
        <v>561000</v>
      </c>
    </row>
    <row r="104" spans="1:10" ht="93.75">
      <c r="A104" s="272"/>
      <c r="B104" s="272"/>
      <c r="C104" s="272"/>
      <c r="D104" s="301"/>
      <c r="E104" s="47" t="s">
        <v>255</v>
      </c>
      <c r="F104" s="23" t="s">
        <v>68</v>
      </c>
      <c r="G104" s="81">
        <v>1000000</v>
      </c>
      <c r="H104" s="81">
        <v>1000000</v>
      </c>
      <c r="I104" s="34">
        <v>1</v>
      </c>
      <c r="J104" s="81">
        <v>1000000</v>
      </c>
    </row>
    <row r="105" spans="1:10" ht="101.25" customHeight="1">
      <c r="A105" s="272"/>
      <c r="B105" s="272"/>
      <c r="C105" s="272"/>
      <c r="D105" s="301"/>
      <c r="E105" s="47" t="s">
        <v>256</v>
      </c>
      <c r="F105" s="23" t="s">
        <v>68</v>
      </c>
      <c r="G105" s="81">
        <f>50000+450000</f>
        <v>500000</v>
      </c>
      <c r="H105" s="81">
        <f>50000+450000</f>
        <v>500000</v>
      </c>
      <c r="I105" s="34">
        <v>1</v>
      </c>
      <c r="J105" s="81">
        <f>50000+450000</f>
        <v>500000</v>
      </c>
    </row>
    <row r="106" spans="1:10" ht="93.75">
      <c r="A106" s="272"/>
      <c r="B106" s="272"/>
      <c r="C106" s="272"/>
      <c r="D106" s="301"/>
      <c r="E106" s="47" t="s">
        <v>257</v>
      </c>
      <c r="F106" s="23" t="s">
        <v>68</v>
      </c>
      <c r="G106" s="81">
        <v>200000</v>
      </c>
      <c r="H106" s="81">
        <v>200000</v>
      </c>
      <c r="I106" s="34">
        <v>1</v>
      </c>
      <c r="J106" s="81">
        <v>200000</v>
      </c>
    </row>
    <row r="107" spans="1:10" ht="96" customHeight="1">
      <c r="A107" s="272"/>
      <c r="B107" s="272"/>
      <c r="C107" s="272"/>
      <c r="D107" s="301"/>
      <c r="E107" s="47" t="s">
        <v>258</v>
      </c>
      <c r="F107" s="23" t="s">
        <v>68</v>
      </c>
      <c r="G107" s="81">
        <v>200000</v>
      </c>
      <c r="H107" s="81">
        <v>200000</v>
      </c>
      <c r="I107" s="34">
        <v>1</v>
      </c>
      <c r="J107" s="81">
        <v>200000</v>
      </c>
    </row>
    <row r="108" spans="1:10" ht="80.25" customHeight="1">
      <c r="A108" s="272"/>
      <c r="B108" s="272"/>
      <c r="C108" s="272"/>
      <c r="D108" s="301"/>
      <c r="E108" s="47" t="s">
        <v>259</v>
      </c>
      <c r="F108" s="23" t="s">
        <v>68</v>
      </c>
      <c r="G108" s="81">
        <v>300000</v>
      </c>
      <c r="H108" s="81">
        <v>300000</v>
      </c>
      <c r="I108" s="34">
        <v>1</v>
      </c>
      <c r="J108" s="81">
        <v>300000</v>
      </c>
    </row>
    <row r="109" spans="1:10" ht="80.25" customHeight="1">
      <c r="A109" s="272"/>
      <c r="B109" s="272"/>
      <c r="C109" s="272"/>
      <c r="D109" s="301"/>
      <c r="E109" s="47" t="s">
        <v>260</v>
      </c>
      <c r="F109" s="23" t="s">
        <v>68</v>
      </c>
      <c r="G109" s="81">
        <v>300000</v>
      </c>
      <c r="H109" s="81">
        <v>300000</v>
      </c>
      <c r="I109" s="34">
        <v>1</v>
      </c>
      <c r="J109" s="81">
        <v>300000</v>
      </c>
    </row>
    <row r="110" spans="1:10" ht="80.25" customHeight="1">
      <c r="A110" s="272"/>
      <c r="B110" s="272"/>
      <c r="C110" s="272"/>
      <c r="D110" s="301"/>
      <c r="E110" s="47" t="s">
        <v>261</v>
      </c>
      <c r="F110" s="23" t="s">
        <v>68</v>
      </c>
      <c r="G110" s="81">
        <v>400000</v>
      </c>
      <c r="H110" s="81">
        <v>400000</v>
      </c>
      <c r="I110" s="34">
        <v>1</v>
      </c>
      <c r="J110" s="81">
        <v>400000</v>
      </c>
    </row>
    <row r="111" spans="1:10" ht="126.75" customHeight="1">
      <c r="A111" s="272"/>
      <c r="B111" s="272"/>
      <c r="C111" s="272"/>
      <c r="D111" s="301"/>
      <c r="E111" s="47" t="s">
        <v>125</v>
      </c>
      <c r="F111" s="23" t="s">
        <v>68</v>
      </c>
      <c r="G111" s="81">
        <v>1150000</v>
      </c>
      <c r="H111" s="81">
        <v>1150000</v>
      </c>
      <c r="I111" s="34">
        <v>1</v>
      </c>
      <c r="J111" s="81">
        <v>1150000</v>
      </c>
    </row>
    <row r="112" spans="1:10" ht="56.25">
      <c r="A112" s="272"/>
      <c r="B112" s="272"/>
      <c r="C112" s="272"/>
      <c r="D112" s="301"/>
      <c r="E112" s="47" t="s">
        <v>262</v>
      </c>
      <c r="F112" s="23" t="s">
        <v>68</v>
      </c>
      <c r="G112" s="81">
        <v>700000</v>
      </c>
      <c r="H112" s="81">
        <v>700000</v>
      </c>
      <c r="I112" s="34">
        <v>1</v>
      </c>
      <c r="J112" s="81">
        <v>700000</v>
      </c>
    </row>
    <row r="113" spans="1:10" ht="93.75">
      <c r="A113" s="272"/>
      <c r="B113" s="272"/>
      <c r="C113" s="272"/>
      <c r="D113" s="301"/>
      <c r="E113" s="47" t="s">
        <v>263</v>
      </c>
      <c r="F113" s="23" t="s">
        <v>68</v>
      </c>
      <c r="G113" s="81">
        <v>900000</v>
      </c>
      <c r="H113" s="81">
        <v>900000</v>
      </c>
      <c r="I113" s="34">
        <v>1</v>
      </c>
      <c r="J113" s="81"/>
    </row>
    <row r="114" spans="1:10" ht="93.75">
      <c r="A114" s="273"/>
      <c r="B114" s="273"/>
      <c r="C114" s="273"/>
      <c r="D114" s="300"/>
      <c r="E114" s="47" t="s">
        <v>264</v>
      </c>
      <c r="F114" s="23" t="s">
        <v>68</v>
      </c>
      <c r="G114" s="81">
        <v>900000</v>
      </c>
      <c r="H114" s="81">
        <v>900000</v>
      </c>
      <c r="I114" s="34">
        <v>1</v>
      </c>
      <c r="J114" s="81"/>
    </row>
    <row r="115" spans="1:10">
      <c r="A115" s="271" t="s">
        <v>53</v>
      </c>
      <c r="B115" s="286" t="s">
        <v>52</v>
      </c>
      <c r="C115" s="286" t="s">
        <v>10</v>
      </c>
      <c r="D115" s="283" t="s">
        <v>35</v>
      </c>
      <c r="E115" s="38" t="s">
        <v>55</v>
      </c>
      <c r="F115" s="38"/>
      <c r="G115" s="39">
        <f>G116+G117+G118</f>
        <v>7000000</v>
      </c>
      <c r="H115" s="39">
        <f>H116+H117+H118</f>
        <v>7000000</v>
      </c>
      <c r="I115" s="39"/>
      <c r="J115" s="39">
        <f>J116+J117+J118</f>
        <v>500000</v>
      </c>
    </row>
    <row r="116" spans="1:10" ht="56.25">
      <c r="A116" s="272"/>
      <c r="B116" s="287"/>
      <c r="C116" s="287"/>
      <c r="D116" s="284"/>
      <c r="E116" s="50" t="s">
        <v>265</v>
      </c>
      <c r="F116" s="50" t="s">
        <v>68</v>
      </c>
      <c r="G116" s="96">
        <v>5000000</v>
      </c>
      <c r="H116" s="96">
        <v>5000000</v>
      </c>
      <c r="I116" s="35">
        <v>1</v>
      </c>
      <c r="J116" s="96"/>
    </row>
    <row r="117" spans="1:10" ht="75">
      <c r="A117" s="272"/>
      <c r="B117" s="287"/>
      <c r="C117" s="287"/>
      <c r="D117" s="284"/>
      <c r="E117" s="50" t="s">
        <v>266</v>
      </c>
      <c r="F117" s="50" t="s">
        <v>68</v>
      </c>
      <c r="G117" s="96">
        <v>500000</v>
      </c>
      <c r="H117" s="96">
        <v>500000</v>
      </c>
      <c r="I117" s="35">
        <v>1</v>
      </c>
      <c r="J117" s="96">
        <v>500000</v>
      </c>
    </row>
    <row r="118" spans="1:10" ht="56.25">
      <c r="A118" s="273"/>
      <c r="B118" s="288"/>
      <c r="C118" s="288"/>
      <c r="D118" s="285"/>
      <c r="E118" s="50" t="s">
        <v>267</v>
      </c>
      <c r="F118" s="50" t="s">
        <v>68</v>
      </c>
      <c r="G118" s="96">
        <v>1500000</v>
      </c>
      <c r="H118" s="96">
        <v>1500000</v>
      </c>
      <c r="I118" s="35">
        <v>1</v>
      </c>
      <c r="J118" s="96"/>
    </row>
    <row r="119" spans="1:10" ht="95.25" customHeight="1">
      <c r="A119" s="271" t="s">
        <v>45</v>
      </c>
      <c r="B119" s="271" t="s">
        <v>44</v>
      </c>
      <c r="C119" s="271" t="s">
        <v>11</v>
      </c>
      <c r="D119" s="283" t="s">
        <v>46</v>
      </c>
      <c r="E119" s="11" t="s">
        <v>268</v>
      </c>
      <c r="F119" s="11" t="s">
        <v>68</v>
      </c>
      <c r="G119" s="96">
        <f>G120+G134+G135</f>
        <v>11790000</v>
      </c>
      <c r="H119" s="96">
        <f t="shared" ref="H119" si="4">H120+H134+H135</f>
        <v>11790000</v>
      </c>
      <c r="I119" s="96"/>
      <c r="J119" s="49">
        <f>J120+J134+J135</f>
        <v>11790000</v>
      </c>
    </row>
    <row r="120" spans="1:10" ht="37.5">
      <c r="A120" s="272"/>
      <c r="B120" s="272"/>
      <c r="C120" s="272"/>
      <c r="D120" s="284"/>
      <c r="E120" s="50" t="s">
        <v>269</v>
      </c>
      <c r="F120" s="11" t="s">
        <v>68</v>
      </c>
      <c r="G120" s="96">
        <f>G121+G122+G123+G124+G125+G126+G127+G128+G129+G130+G131+G132+G133</f>
        <v>10490000</v>
      </c>
      <c r="H120" s="96">
        <f t="shared" ref="H120:J120" si="5">H121+H122+H123+H124+H125+H126+H127+H128+H129+H130+H131+H132+H133</f>
        <v>10490000</v>
      </c>
      <c r="I120" s="35">
        <v>1</v>
      </c>
      <c r="J120" s="96">
        <f t="shared" si="5"/>
        <v>10490000</v>
      </c>
    </row>
    <row r="121" spans="1:10">
      <c r="A121" s="272"/>
      <c r="B121" s="272"/>
      <c r="C121" s="272"/>
      <c r="D121" s="284"/>
      <c r="E121" s="45" t="s">
        <v>270</v>
      </c>
      <c r="F121" s="11" t="s">
        <v>68</v>
      </c>
      <c r="G121" s="97">
        <v>250000</v>
      </c>
      <c r="H121" s="97">
        <v>250000</v>
      </c>
      <c r="I121" s="35">
        <v>1</v>
      </c>
      <c r="J121" s="97">
        <v>250000</v>
      </c>
    </row>
    <row r="122" spans="1:10" ht="23.25" customHeight="1">
      <c r="A122" s="272"/>
      <c r="B122" s="272"/>
      <c r="C122" s="272"/>
      <c r="D122" s="284"/>
      <c r="E122" s="45" t="s">
        <v>271</v>
      </c>
      <c r="F122" s="11" t="s">
        <v>68</v>
      </c>
      <c r="G122" s="97">
        <v>300000</v>
      </c>
      <c r="H122" s="97">
        <v>300000</v>
      </c>
      <c r="I122" s="35">
        <v>1</v>
      </c>
      <c r="J122" s="97">
        <v>300000</v>
      </c>
    </row>
    <row r="123" spans="1:10" hidden="1">
      <c r="A123" s="272"/>
      <c r="B123" s="272"/>
      <c r="C123" s="272"/>
      <c r="D123" s="284"/>
      <c r="E123" s="45" t="s">
        <v>272</v>
      </c>
      <c r="F123" s="11" t="s">
        <v>68</v>
      </c>
      <c r="G123" s="97"/>
      <c r="H123" s="97"/>
      <c r="I123" s="35">
        <v>1</v>
      </c>
      <c r="J123" s="97"/>
    </row>
    <row r="124" spans="1:10" ht="37.5" hidden="1">
      <c r="A124" s="272"/>
      <c r="B124" s="272"/>
      <c r="C124" s="272"/>
      <c r="D124" s="284"/>
      <c r="E124" s="45" t="s">
        <v>273</v>
      </c>
      <c r="F124" s="11" t="s">
        <v>68</v>
      </c>
      <c r="G124" s="97"/>
      <c r="H124" s="97"/>
      <c r="I124" s="35">
        <v>1</v>
      </c>
      <c r="J124" s="97"/>
    </row>
    <row r="125" spans="1:10" hidden="1">
      <c r="A125" s="272"/>
      <c r="B125" s="272"/>
      <c r="C125" s="272"/>
      <c r="D125" s="284"/>
      <c r="E125" s="45" t="s">
        <v>274</v>
      </c>
      <c r="F125" s="11" t="s">
        <v>68</v>
      </c>
      <c r="G125" s="97"/>
      <c r="H125" s="97"/>
      <c r="I125" s="35">
        <v>1</v>
      </c>
      <c r="J125" s="97"/>
    </row>
    <row r="126" spans="1:10" ht="37.5">
      <c r="A126" s="272"/>
      <c r="B126" s="272"/>
      <c r="C126" s="272"/>
      <c r="D126" s="284"/>
      <c r="E126" s="45" t="s">
        <v>275</v>
      </c>
      <c r="F126" s="11" t="s">
        <v>68</v>
      </c>
      <c r="G126" s="97">
        <v>750000</v>
      </c>
      <c r="H126" s="97">
        <v>750000</v>
      </c>
      <c r="I126" s="35">
        <v>1</v>
      </c>
      <c r="J126" s="97">
        <v>750000</v>
      </c>
    </row>
    <row r="127" spans="1:10">
      <c r="A127" s="272"/>
      <c r="B127" s="272"/>
      <c r="C127" s="272"/>
      <c r="D127" s="284"/>
      <c r="E127" s="45" t="s">
        <v>276</v>
      </c>
      <c r="F127" s="11" t="s">
        <v>68</v>
      </c>
      <c r="G127" s="97">
        <v>1341000</v>
      </c>
      <c r="H127" s="97">
        <v>1341000</v>
      </c>
      <c r="I127" s="35">
        <v>1</v>
      </c>
      <c r="J127" s="97">
        <v>1341000</v>
      </c>
    </row>
    <row r="128" spans="1:10">
      <c r="A128" s="272"/>
      <c r="B128" s="272"/>
      <c r="C128" s="272"/>
      <c r="D128" s="284"/>
      <c r="E128" s="45" t="s">
        <v>277</v>
      </c>
      <c r="F128" s="11" t="s">
        <v>68</v>
      </c>
      <c r="G128" s="97">
        <v>1500000</v>
      </c>
      <c r="H128" s="97">
        <v>1500000</v>
      </c>
      <c r="I128" s="35">
        <v>1</v>
      </c>
      <c r="J128" s="97">
        <v>1500000</v>
      </c>
    </row>
    <row r="129" spans="1:10">
      <c r="A129" s="272"/>
      <c r="B129" s="272"/>
      <c r="C129" s="272"/>
      <c r="D129" s="284"/>
      <c r="E129" s="45" t="s">
        <v>278</v>
      </c>
      <c r="F129" s="11" t="s">
        <v>68</v>
      </c>
      <c r="G129" s="97">
        <v>1208000</v>
      </c>
      <c r="H129" s="97">
        <v>1208000</v>
      </c>
      <c r="I129" s="35">
        <v>1</v>
      </c>
      <c r="J129" s="97">
        <v>1208000</v>
      </c>
    </row>
    <row r="130" spans="1:10">
      <c r="A130" s="272"/>
      <c r="B130" s="272"/>
      <c r="C130" s="272"/>
      <c r="D130" s="284"/>
      <c r="E130" s="45" t="s">
        <v>279</v>
      </c>
      <c r="F130" s="11" t="s">
        <v>68</v>
      </c>
      <c r="G130" s="97">
        <v>1052000</v>
      </c>
      <c r="H130" s="97">
        <v>1052000</v>
      </c>
      <c r="I130" s="35">
        <v>1</v>
      </c>
      <c r="J130" s="97">
        <v>1052000</v>
      </c>
    </row>
    <row r="131" spans="1:10">
      <c r="A131" s="272"/>
      <c r="B131" s="272"/>
      <c r="C131" s="272"/>
      <c r="D131" s="284"/>
      <c r="E131" s="45" t="s">
        <v>280</v>
      </c>
      <c r="F131" s="11" t="s">
        <v>68</v>
      </c>
      <c r="G131" s="97">
        <v>1500000</v>
      </c>
      <c r="H131" s="97">
        <v>1500000</v>
      </c>
      <c r="I131" s="35">
        <v>1</v>
      </c>
      <c r="J131" s="97">
        <v>1500000</v>
      </c>
    </row>
    <row r="132" spans="1:10">
      <c r="A132" s="272"/>
      <c r="B132" s="272"/>
      <c r="C132" s="272"/>
      <c r="D132" s="284"/>
      <c r="E132" s="45" t="s">
        <v>281</v>
      </c>
      <c r="F132" s="11" t="s">
        <v>68</v>
      </c>
      <c r="G132" s="97">
        <v>1389000</v>
      </c>
      <c r="H132" s="97">
        <v>1389000</v>
      </c>
      <c r="I132" s="35">
        <v>1</v>
      </c>
      <c r="J132" s="97">
        <v>1389000</v>
      </c>
    </row>
    <row r="133" spans="1:10">
      <c r="A133" s="272"/>
      <c r="B133" s="272"/>
      <c r="C133" s="272"/>
      <c r="D133" s="284"/>
      <c r="E133" s="45" t="s">
        <v>282</v>
      </c>
      <c r="F133" s="11" t="s">
        <v>68</v>
      </c>
      <c r="G133" s="97">
        <v>1200000</v>
      </c>
      <c r="H133" s="97">
        <v>1200000</v>
      </c>
      <c r="I133" s="35">
        <v>1</v>
      </c>
      <c r="J133" s="97">
        <v>1200000</v>
      </c>
    </row>
    <row r="134" spans="1:10" ht="21.75" customHeight="1">
      <c r="A134" s="272"/>
      <c r="B134" s="272"/>
      <c r="C134" s="272"/>
      <c r="D134" s="284"/>
      <c r="E134" s="50" t="s">
        <v>283</v>
      </c>
      <c r="F134" s="11" t="s">
        <v>68</v>
      </c>
      <c r="G134" s="96">
        <v>600000</v>
      </c>
      <c r="H134" s="96">
        <v>600000</v>
      </c>
      <c r="I134" s="35">
        <v>1</v>
      </c>
      <c r="J134" s="96">
        <v>600000</v>
      </c>
    </row>
    <row r="135" spans="1:10" ht="56.25">
      <c r="A135" s="273"/>
      <c r="B135" s="273"/>
      <c r="C135" s="273"/>
      <c r="D135" s="285"/>
      <c r="E135" s="50" t="s">
        <v>284</v>
      </c>
      <c r="F135" s="11" t="s">
        <v>68</v>
      </c>
      <c r="G135" s="96">
        <v>700000</v>
      </c>
      <c r="H135" s="96">
        <v>700000</v>
      </c>
      <c r="I135" s="35">
        <v>1</v>
      </c>
      <c r="J135" s="96">
        <v>700000</v>
      </c>
    </row>
    <row r="136" spans="1:10" ht="83.25" customHeight="1">
      <c r="A136" s="271" t="s">
        <v>43</v>
      </c>
      <c r="B136" s="271" t="s">
        <v>42</v>
      </c>
      <c r="C136" s="271" t="s">
        <v>12</v>
      </c>
      <c r="D136" s="283" t="s">
        <v>13</v>
      </c>
      <c r="E136" s="47" t="s">
        <v>77</v>
      </c>
      <c r="F136" s="50" t="s">
        <v>68</v>
      </c>
      <c r="G136" s="96">
        <f>G137+G138+G139+G140+G141+G142+G143+G144+G145+G146+G147</f>
        <v>1200000</v>
      </c>
      <c r="H136" s="96">
        <f>H137+H138+H139+H140+H141+H142+H143+H144+H145+H146+H147</f>
        <v>1200000</v>
      </c>
      <c r="I136" s="35">
        <v>1</v>
      </c>
      <c r="J136" s="96">
        <f>J137+J138+J139+J140+J141+J142+J143+J144+J145+J146+J147</f>
        <v>1200000</v>
      </c>
    </row>
    <row r="137" spans="1:10" ht="22.5" customHeight="1">
      <c r="A137" s="272"/>
      <c r="B137" s="272"/>
      <c r="C137" s="272"/>
      <c r="D137" s="284"/>
      <c r="E137" s="44" t="s">
        <v>285</v>
      </c>
      <c r="F137" s="45" t="s">
        <v>68</v>
      </c>
      <c r="G137" s="97">
        <v>45000</v>
      </c>
      <c r="H137" s="97">
        <v>45000</v>
      </c>
      <c r="I137" s="46">
        <v>1</v>
      </c>
      <c r="J137" s="97">
        <v>45000</v>
      </c>
    </row>
    <row r="138" spans="1:10" ht="22.5" customHeight="1">
      <c r="A138" s="272"/>
      <c r="B138" s="272"/>
      <c r="C138" s="272"/>
      <c r="D138" s="284"/>
      <c r="E138" s="44" t="s">
        <v>286</v>
      </c>
      <c r="F138" s="45" t="s">
        <v>68</v>
      </c>
      <c r="G138" s="97">
        <v>87500</v>
      </c>
      <c r="H138" s="97">
        <v>87500</v>
      </c>
      <c r="I138" s="46">
        <v>1</v>
      </c>
      <c r="J138" s="97">
        <v>87500</v>
      </c>
    </row>
    <row r="139" spans="1:10" ht="22.5" customHeight="1">
      <c r="A139" s="272"/>
      <c r="B139" s="272"/>
      <c r="C139" s="272"/>
      <c r="D139" s="284"/>
      <c r="E139" s="44" t="s">
        <v>79</v>
      </c>
      <c r="F139" s="45" t="s">
        <v>68</v>
      </c>
      <c r="G139" s="97">
        <v>100000</v>
      </c>
      <c r="H139" s="97">
        <v>100000</v>
      </c>
      <c r="I139" s="46">
        <v>1</v>
      </c>
      <c r="J139" s="97">
        <v>100000</v>
      </c>
    </row>
    <row r="140" spans="1:10" ht="22.5" customHeight="1">
      <c r="A140" s="272"/>
      <c r="B140" s="272"/>
      <c r="C140" s="272"/>
      <c r="D140" s="284"/>
      <c r="E140" s="44" t="s">
        <v>287</v>
      </c>
      <c r="F140" s="45" t="s">
        <v>68</v>
      </c>
      <c r="G140" s="97">
        <v>87500</v>
      </c>
      <c r="H140" s="97">
        <v>87500</v>
      </c>
      <c r="I140" s="46">
        <v>1</v>
      </c>
      <c r="J140" s="97">
        <v>87500</v>
      </c>
    </row>
    <row r="141" spans="1:10" ht="22.5" customHeight="1">
      <c r="A141" s="272"/>
      <c r="B141" s="272"/>
      <c r="C141" s="272"/>
      <c r="D141" s="284"/>
      <c r="E141" s="44" t="s">
        <v>80</v>
      </c>
      <c r="F141" s="45" t="s">
        <v>68</v>
      </c>
      <c r="G141" s="97">
        <v>100000</v>
      </c>
      <c r="H141" s="97">
        <v>100000</v>
      </c>
      <c r="I141" s="46">
        <v>1</v>
      </c>
      <c r="J141" s="97">
        <v>100000</v>
      </c>
    </row>
    <row r="142" spans="1:10" ht="22.5" customHeight="1">
      <c r="A142" s="272"/>
      <c r="B142" s="272"/>
      <c r="C142" s="272"/>
      <c r="D142" s="284"/>
      <c r="E142" s="44" t="s">
        <v>288</v>
      </c>
      <c r="F142" s="45" t="s">
        <v>68</v>
      </c>
      <c r="G142" s="97">
        <v>90000</v>
      </c>
      <c r="H142" s="97">
        <v>90000</v>
      </c>
      <c r="I142" s="46">
        <v>1</v>
      </c>
      <c r="J142" s="97">
        <v>90000</v>
      </c>
    </row>
    <row r="143" spans="1:10" ht="22.5" customHeight="1">
      <c r="A143" s="272"/>
      <c r="B143" s="272"/>
      <c r="C143" s="272"/>
      <c r="D143" s="284"/>
      <c r="E143" s="44" t="s">
        <v>289</v>
      </c>
      <c r="F143" s="45" t="s">
        <v>68</v>
      </c>
      <c r="G143" s="97">
        <v>135000</v>
      </c>
      <c r="H143" s="97">
        <v>135000</v>
      </c>
      <c r="I143" s="46">
        <v>1</v>
      </c>
      <c r="J143" s="97">
        <v>135000</v>
      </c>
    </row>
    <row r="144" spans="1:10" ht="22.5" customHeight="1">
      <c r="A144" s="272"/>
      <c r="B144" s="272"/>
      <c r="C144" s="272"/>
      <c r="D144" s="284"/>
      <c r="E144" s="44" t="s">
        <v>290</v>
      </c>
      <c r="F144" s="45" t="s">
        <v>68</v>
      </c>
      <c r="G144" s="97">
        <v>100000</v>
      </c>
      <c r="H144" s="97">
        <v>100000</v>
      </c>
      <c r="I144" s="46">
        <v>1</v>
      </c>
      <c r="J144" s="97">
        <v>100000</v>
      </c>
    </row>
    <row r="145" spans="1:10" ht="22.5" customHeight="1">
      <c r="A145" s="272"/>
      <c r="B145" s="272"/>
      <c r="C145" s="272"/>
      <c r="D145" s="284"/>
      <c r="E145" s="44" t="s">
        <v>75</v>
      </c>
      <c r="F145" s="45" t="s">
        <v>68</v>
      </c>
      <c r="G145" s="97">
        <v>230000</v>
      </c>
      <c r="H145" s="97">
        <v>230000</v>
      </c>
      <c r="I145" s="46">
        <v>1</v>
      </c>
      <c r="J145" s="97">
        <v>230000</v>
      </c>
    </row>
    <row r="146" spans="1:10" ht="22.5" customHeight="1">
      <c r="A146" s="272"/>
      <c r="B146" s="272"/>
      <c r="C146" s="272"/>
      <c r="D146" s="284"/>
      <c r="E146" s="44" t="s">
        <v>291</v>
      </c>
      <c r="F146" s="45" t="s">
        <v>68</v>
      </c>
      <c r="G146" s="97">
        <v>135000</v>
      </c>
      <c r="H146" s="97">
        <v>135000</v>
      </c>
      <c r="I146" s="46">
        <v>1</v>
      </c>
      <c r="J146" s="97">
        <v>135000</v>
      </c>
    </row>
    <row r="147" spans="1:10" ht="22.5" customHeight="1">
      <c r="A147" s="272"/>
      <c r="B147" s="272"/>
      <c r="C147" s="272"/>
      <c r="D147" s="284"/>
      <c r="E147" s="44" t="s">
        <v>292</v>
      </c>
      <c r="F147" s="45" t="s">
        <v>68</v>
      </c>
      <c r="G147" s="97">
        <v>90000</v>
      </c>
      <c r="H147" s="97">
        <v>90000</v>
      </c>
      <c r="I147" s="46">
        <v>1</v>
      </c>
      <c r="J147" s="97">
        <v>90000</v>
      </c>
    </row>
    <row r="148" spans="1:10" s="10" customFormat="1" ht="41.25" customHeight="1">
      <c r="A148" s="5" t="s">
        <v>4</v>
      </c>
      <c r="B148" s="5"/>
      <c r="C148" s="5"/>
      <c r="D148" s="268" t="s">
        <v>9</v>
      </c>
      <c r="E148" s="269"/>
      <c r="F148" s="70"/>
      <c r="G148" s="80">
        <f>G149</f>
        <v>696681263</v>
      </c>
      <c r="H148" s="80">
        <f>H149</f>
        <v>53330900</v>
      </c>
      <c r="I148" s="31"/>
      <c r="J148" s="80">
        <f>J149</f>
        <v>24696400</v>
      </c>
    </row>
    <row r="149" spans="1:10" s="10" customFormat="1" ht="41.25" customHeight="1">
      <c r="A149" s="5" t="s">
        <v>5</v>
      </c>
      <c r="B149" s="5"/>
      <c r="C149" s="5"/>
      <c r="D149" s="268" t="s">
        <v>9</v>
      </c>
      <c r="E149" s="269"/>
      <c r="F149" s="70"/>
      <c r="G149" s="80">
        <f>G150+G151+G152+G164</f>
        <v>696681263</v>
      </c>
      <c r="H149" s="80">
        <f>H150+H151+H152+H164</f>
        <v>53330900</v>
      </c>
      <c r="I149" s="31"/>
      <c r="J149" s="80">
        <f>J150+J151+J152+J164</f>
        <v>24696400</v>
      </c>
    </row>
    <row r="150" spans="1:10" ht="79.5" customHeight="1">
      <c r="A150" s="6" t="s">
        <v>293</v>
      </c>
      <c r="B150" s="6" t="s">
        <v>161</v>
      </c>
      <c r="C150" s="6" t="s">
        <v>141</v>
      </c>
      <c r="D150" s="7" t="s">
        <v>162</v>
      </c>
      <c r="E150" s="22" t="s">
        <v>3</v>
      </c>
      <c r="F150" s="22" t="s">
        <v>68</v>
      </c>
      <c r="G150" s="81">
        <v>15000</v>
      </c>
      <c r="H150" s="81">
        <v>15000</v>
      </c>
      <c r="I150" s="34">
        <v>1</v>
      </c>
      <c r="J150" s="81">
        <v>15000</v>
      </c>
    </row>
    <row r="151" spans="1:10" ht="56.25">
      <c r="A151" s="6" t="s">
        <v>294</v>
      </c>
      <c r="B151" s="6" t="s">
        <v>295</v>
      </c>
      <c r="C151" s="6" t="s">
        <v>7</v>
      </c>
      <c r="D151" s="7" t="s">
        <v>296</v>
      </c>
      <c r="E151" s="98" t="s">
        <v>297</v>
      </c>
      <c r="F151" s="98" t="s">
        <v>68</v>
      </c>
      <c r="G151" s="96">
        <v>200000</v>
      </c>
      <c r="H151" s="96">
        <v>200000</v>
      </c>
      <c r="I151" s="35">
        <v>1</v>
      </c>
      <c r="J151" s="96">
        <v>200000</v>
      </c>
    </row>
    <row r="152" spans="1:10" ht="18.75" customHeight="1">
      <c r="A152" s="271" t="s">
        <v>54</v>
      </c>
      <c r="B152" s="271" t="s">
        <v>52</v>
      </c>
      <c r="C152" s="271" t="s">
        <v>10</v>
      </c>
      <c r="D152" s="283" t="s">
        <v>35</v>
      </c>
      <c r="E152" s="28" t="s">
        <v>55</v>
      </c>
      <c r="F152" s="28"/>
      <c r="G152" s="39">
        <f>SUM(G153:G163)</f>
        <v>541252239</v>
      </c>
      <c r="H152" s="39">
        <f t="shared" ref="H152:J152" si="6">SUM(H153:H163)</f>
        <v>48115900</v>
      </c>
      <c r="I152" s="39"/>
      <c r="J152" s="39">
        <f t="shared" si="6"/>
        <v>19481400</v>
      </c>
    </row>
    <row r="153" spans="1:10" ht="112.5">
      <c r="A153" s="272"/>
      <c r="B153" s="272"/>
      <c r="C153" s="272"/>
      <c r="D153" s="284"/>
      <c r="E153" s="99" t="s">
        <v>298</v>
      </c>
      <c r="F153" s="98" t="s">
        <v>299</v>
      </c>
      <c r="G153" s="100">
        <v>210534207</v>
      </c>
      <c r="H153" s="91">
        <f>20000000-10000000</f>
        <v>10000000</v>
      </c>
      <c r="I153" s="79">
        <v>0.40699999999999997</v>
      </c>
      <c r="J153" s="91">
        <f>20000000-10000000</f>
        <v>10000000</v>
      </c>
    </row>
    <row r="154" spans="1:10" ht="75">
      <c r="A154" s="272"/>
      <c r="B154" s="272"/>
      <c r="C154" s="272"/>
      <c r="D154" s="284"/>
      <c r="E154" s="73" t="s">
        <v>69</v>
      </c>
      <c r="F154" s="11" t="s">
        <v>71</v>
      </c>
      <c r="G154" s="82">
        <v>217029540</v>
      </c>
      <c r="H154" s="91">
        <f>570000</f>
        <v>570000</v>
      </c>
      <c r="I154" s="101">
        <v>0.58299999999999996</v>
      </c>
      <c r="J154" s="91">
        <f>570000</f>
        <v>570000</v>
      </c>
    </row>
    <row r="155" spans="1:10" ht="56.25">
      <c r="A155" s="272"/>
      <c r="B155" s="272"/>
      <c r="C155" s="272"/>
      <c r="D155" s="284"/>
      <c r="E155" s="118" t="s">
        <v>300</v>
      </c>
      <c r="F155" s="11" t="s">
        <v>301</v>
      </c>
      <c r="G155" s="102">
        <f>8000000+5005100</f>
        <v>13005100</v>
      </c>
      <c r="H155" s="91">
        <v>8000000</v>
      </c>
      <c r="I155" s="103">
        <v>1</v>
      </c>
      <c r="J155" s="91"/>
    </row>
    <row r="156" spans="1:10" ht="75">
      <c r="A156" s="272"/>
      <c r="B156" s="272"/>
      <c r="C156" s="272"/>
      <c r="D156" s="284"/>
      <c r="E156" s="73" t="s">
        <v>302</v>
      </c>
      <c r="F156" s="11" t="s">
        <v>68</v>
      </c>
      <c r="G156" s="82">
        <v>100000</v>
      </c>
      <c r="H156" s="91">
        <v>100000</v>
      </c>
      <c r="I156" s="103">
        <v>1</v>
      </c>
      <c r="J156" s="91">
        <v>100000</v>
      </c>
    </row>
    <row r="157" spans="1:10" ht="141.75" customHeight="1">
      <c r="A157" s="272"/>
      <c r="B157" s="272"/>
      <c r="C157" s="272"/>
      <c r="D157" s="284"/>
      <c r="E157" s="73" t="s">
        <v>303</v>
      </c>
      <c r="F157" s="11" t="s">
        <v>301</v>
      </c>
      <c r="G157" s="82">
        <v>16283392</v>
      </c>
      <c r="H157" s="91">
        <f>9655400-3480900</f>
        <v>6174500</v>
      </c>
      <c r="I157" s="103">
        <v>1</v>
      </c>
      <c r="J157" s="91"/>
    </row>
    <row r="158" spans="1:10" ht="135.75" customHeight="1">
      <c r="A158" s="272"/>
      <c r="B158" s="272"/>
      <c r="C158" s="272"/>
      <c r="D158" s="284"/>
      <c r="E158" s="73" t="s">
        <v>304</v>
      </c>
      <c r="F158" s="11" t="s">
        <v>68</v>
      </c>
      <c r="G158" s="82">
        <f>14000000</f>
        <v>14000000</v>
      </c>
      <c r="H158" s="91">
        <f>14000000-2600000</f>
        <v>11400000</v>
      </c>
      <c r="I158" s="79">
        <v>0.81399999999999995</v>
      </c>
      <c r="J158" s="91"/>
    </row>
    <row r="159" spans="1:10" ht="59.25" customHeight="1">
      <c r="A159" s="272"/>
      <c r="B159" s="272"/>
      <c r="C159" s="272"/>
      <c r="D159" s="284"/>
      <c r="E159" s="73" t="s">
        <v>305</v>
      </c>
      <c r="F159" s="11" t="s">
        <v>68</v>
      </c>
      <c r="G159" s="82">
        <v>2600000</v>
      </c>
      <c r="H159" s="91">
        <v>2600000</v>
      </c>
      <c r="I159" s="103">
        <v>1</v>
      </c>
      <c r="J159" s="91"/>
    </row>
    <row r="160" spans="1:10" ht="96.75" customHeight="1">
      <c r="A160" s="272"/>
      <c r="B160" s="272"/>
      <c r="C160" s="272"/>
      <c r="D160" s="284"/>
      <c r="E160" s="73" t="s">
        <v>306</v>
      </c>
      <c r="F160" s="11" t="s">
        <v>307</v>
      </c>
      <c r="G160" s="82">
        <v>61000000</v>
      </c>
      <c r="H160" s="91">
        <f>2671400-100000</f>
        <v>2571400</v>
      </c>
      <c r="I160" s="79">
        <v>4.2000000000000003E-2</v>
      </c>
      <c r="J160" s="91">
        <v>2111400</v>
      </c>
    </row>
    <row r="161" spans="1:10" ht="64.5" customHeight="1">
      <c r="A161" s="272"/>
      <c r="B161" s="272"/>
      <c r="C161" s="272"/>
      <c r="D161" s="284"/>
      <c r="E161" s="73" t="s">
        <v>308</v>
      </c>
      <c r="F161" s="11" t="s">
        <v>68</v>
      </c>
      <c r="G161" s="82">
        <v>400000</v>
      </c>
      <c r="H161" s="91">
        <v>400000</v>
      </c>
      <c r="I161" s="79">
        <v>1</v>
      </c>
      <c r="J161" s="91">
        <v>400000</v>
      </c>
    </row>
    <row r="162" spans="1:10" ht="84.75" customHeight="1">
      <c r="A162" s="272"/>
      <c r="B162" s="272"/>
      <c r="C162" s="272"/>
      <c r="D162" s="284"/>
      <c r="E162" s="73" t="s">
        <v>309</v>
      </c>
      <c r="F162" s="11" t="s">
        <v>68</v>
      </c>
      <c r="G162" s="82">
        <v>300000</v>
      </c>
      <c r="H162" s="91">
        <v>300000</v>
      </c>
      <c r="I162" s="79">
        <v>1</v>
      </c>
      <c r="J162" s="91">
        <v>300000</v>
      </c>
    </row>
    <row r="163" spans="1:10" ht="42" customHeight="1">
      <c r="A163" s="273"/>
      <c r="B163" s="273"/>
      <c r="C163" s="273"/>
      <c r="D163" s="285"/>
      <c r="E163" s="73" t="s">
        <v>310</v>
      </c>
      <c r="F163" s="11" t="s">
        <v>68</v>
      </c>
      <c r="G163" s="82">
        <v>6000000</v>
      </c>
      <c r="H163" s="91">
        <v>6000000</v>
      </c>
      <c r="I163" s="79">
        <v>1</v>
      </c>
      <c r="J163" s="91">
        <v>6000000</v>
      </c>
    </row>
    <row r="164" spans="1:10" ht="42" customHeight="1">
      <c r="A164" s="6" t="s">
        <v>311</v>
      </c>
      <c r="B164" s="6" t="s">
        <v>312</v>
      </c>
      <c r="C164" s="6" t="s">
        <v>313</v>
      </c>
      <c r="D164" s="7" t="s">
        <v>314</v>
      </c>
      <c r="E164" s="11" t="s">
        <v>315</v>
      </c>
      <c r="F164" s="11" t="s">
        <v>316</v>
      </c>
      <c r="G164" s="82">
        <v>155214024</v>
      </c>
      <c r="H164" s="91">
        <v>5000000</v>
      </c>
      <c r="I164" s="79">
        <v>0.74199999999999999</v>
      </c>
      <c r="J164" s="91">
        <v>5000000</v>
      </c>
    </row>
    <row r="165" spans="1:10" s="10" customFormat="1" ht="34.5" customHeight="1">
      <c r="A165" s="5" t="s">
        <v>317</v>
      </c>
      <c r="B165" s="9"/>
      <c r="C165" s="9"/>
      <c r="D165" s="268" t="s">
        <v>318</v>
      </c>
      <c r="E165" s="269"/>
      <c r="F165" s="70"/>
      <c r="G165" s="80">
        <f>G166</f>
        <v>2955000</v>
      </c>
      <c r="H165" s="80">
        <f>H166</f>
        <v>2955000</v>
      </c>
      <c r="I165" s="31"/>
      <c r="J165" s="80">
        <f>J166</f>
        <v>2955000</v>
      </c>
    </row>
    <row r="166" spans="1:10" s="10" customFormat="1" ht="36.75" customHeight="1">
      <c r="A166" s="5" t="s">
        <v>319</v>
      </c>
      <c r="B166" s="9"/>
      <c r="C166" s="9"/>
      <c r="D166" s="268" t="s">
        <v>318</v>
      </c>
      <c r="E166" s="269"/>
      <c r="F166" s="70"/>
      <c r="G166" s="80">
        <f>G167+G168+G169+G170+G171+G172+G173</f>
        <v>2955000</v>
      </c>
      <c r="H166" s="80">
        <f>H167+H168+H169+H170+H171+H172+H173</f>
        <v>2955000</v>
      </c>
      <c r="I166" s="80"/>
      <c r="J166" s="80">
        <f>J167+J168+J169+J170+J171+J172+J173</f>
        <v>2955000</v>
      </c>
    </row>
    <row r="167" spans="1:10" ht="93.75">
      <c r="A167" s="6" t="s">
        <v>320</v>
      </c>
      <c r="B167" s="6" t="s">
        <v>161</v>
      </c>
      <c r="C167" s="6" t="s">
        <v>141</v>
      </c>
      <c r="D167" s="7" t="s">
        <v>162</v>
      </c>
      <c r="E167" s="22" t="s">
        <v>3</v>
      </c>
      <c r="F167" s="22" t="s">
        <v>68</v>
      </c>
      <c r="G167" s="81">
        <f>12000+18000</f>
        <v>30000</v>
      </c>
      <c r="H167" s="81">
        <f>12000+18000</f>
        <v>30000</v>
      </c>
      <c r="I167" s="34">
        <v>1</v>
      </c>
      <c r="J167" s="81">
        <f>12000+18000</f>
        <v>30000</v>
      </c>
    </row>
    <row r="168" spans="1:10" ht="37.5">
      <c r="A168" s="6" t="s">
        <v>321</v>
      </c>
      <c r="B168" s="25" t="s">
        <v>32</v>
      </c>
      <c r="C168" s="25" t="s">
        <v>33</v>
      </c>
      <c r="D168" s="104" t="s">
        <v>34</v>
      </c>
      <c r="E168" s="22" t="s">
        <v>322</v>
      </c>
      <c r="F168" s="22" t="s">
        <v>68</v>
      </c>
      <c r="G168" s="82">
        <v>100000</v>
      </c>
      <c r="H168" s="91">
        <v>100000</v>
      </c>
      <c r="I168" s="103">
        <v>1</v>
      </c>
      <c r="J168" s="91">
        <v>100000</v>
      </c>
    </row>
    <row r="169" spans="1:10" ht="75">
      <c r="A169" s="6" t="s">
        <v>323</v>
      </c>
      <c r="B169" s="25" t="s">
        <v>52</v>
      </c>
      <c r="C169" s="25" t="s">
        <v>10</v>
      </c>
      <c r="D169" s="11" t="s">
        <v>35</v>
      </c>
      <c r="E169" s="22" t="s">
        <v>324</v>
      </c>
      <c r="F169" s="22" t="s">
        <v>68</v>
      </c>
      <c r="G169" s="82">
        <v>1625000</v>
      </c>
      <c r="H169" s="91">
        <v>1625000</v>
      </c>
      <c r="I169" s="103">
        <v>1</v>
      </c>
      <c r="J169" s="91">
        <v>1625000</v>
      </c>
    </row>
    <row r="170" spans="1:10" ht="56.25">
      <c r="A170" s="6" t="s">
        <v>325</v>
      </c>
      <c r="B170" s="25" t="s">
        <v>326</v>
      </c>
      <c r="C170" s="25" t="s">
        <v>10</v>
      </c>
      <c r="D170" s="11" t="s">
        <v>327</v>
      </c>
      <c r="E170" s="22" t="s">
        <v>3</v>
      </c>
      <c r="F170" s="22" t="s">
        <v>68</v>
      </c>
      <c r="G170" s="82">
        <v>300000</v>
      </c>
      <c r="H170" s="91">
        <v>300000</v>
      </c>
      <c r="I170" s="103">
        <v>1</v>
      </c>
      <c r="J170" s="91">
        <v>300000</v>
      </c>
    </row>
    <row r="171" spans="1:10" ht="112.5">
      <c r="A171" s="6" t="s">
        <v>328</v>
      </c>
      <c r="B171" s="25" t="s">
        <v>329</v>
      </c>
      <c r="C171" s="25" t="s">
        <v>10</v>
      </c>
      <c r="D171" s="11" t="s">
        <v>330</v>
      </c>
      <c r="E171" s="22" t="s">
        <v>3</v>
      </c>
      <c r="F171" s="83" t="s">
        <v>68</v>
      </c>
      <c r="G171" s="82">
        <v>300000</v>
      </c>
      <c r="H171" s="91">
        <v>300000</v>
      </c>
      <c r="I171" s="103">
        <v>1</v>
      </c>
      <c r="J171" s="91">
        <v>300000</v>
      </c>
    </row>
    <row r="172" spans="1:10" ht="37.5" customHeight="1">
      <c r="A172" s="6" t="s">
        <v>331</v>
      </c>
      <c r="B172" s="25" t="s">
        <v>332</v>
      </c>
      <c r="C172" s="25" t="s">
        <v>10</v>
      </c>
      <c r="D172" s="274" t="s">
        <v>333</v>
      </c>
      <c r="E172" s="275"/>
      <c r="F172" s="83" t="s">
        <v>68</v>
      </c>
      <c r="G172" s="82">
        <v>100000</v>
      </c>
      <c r="H172" s="91">
        <v>100000</v>
      </c>
      <c r="I172" s="103">
        <v>1</v>
      </c>
      <c r="J172" s="91">
        <v>100000</v>
      </c>
    </row>
    <row r="173" spans="1:10" ht="37.5" customHeight="1">
      <c r="A173" s="6" t="s">
        <v>334</v>
      </c>
      <c r="B173" s="25" t="s">
        <v>144</v>
      </c>
      <c r="C173" s="25" t="s">
        <v>10</v>
      </c>
      <c r="D173" s="11" t="s">
        <v>145</v>
      </c>
      <c r="E173" s="11" t="s">
        <v>335</v>
      </c>
      <c r="F173" s="83" t="s">
        <v>68</v>
      </c>
      <c r="G173" s="82">
        <v>500000</v>
      </c>
      <c r="H173" s="91">
        <v>500000</v>
      </c>
      <c r="I173" s="103">
        <v>1</v>
      </c>
      <c r="J173" s="91">
        <v>500000</v>
      </c>
    </row>
    <row r="174" spans="1:10" s="10" customFormat="1">
      <c r="A174" s="5" t="s">
        <v>47</v>
      </c>
      <c r="B174" s="9"/>
      <c r="C174" s="9"/>
      <c r="D174" s="268" t="s">
        <v>48</v>
      </c>
      <c r="E174" s="269"/>
      <c r="F174" s="70"/>
      <c r="G174" s="80">
        <f>G175</f>
        <v>14885900</v>
      </c>
      <c r="H174" s="80">
        <f>H175</f>
        <v>14885900</v>
      </c>
      <c r="I174" s="31"/>
      <c r="J174" s="80">
        <f>J175</f>
        <v>3385900</v>
      </c>
    </row>
    <row r="175" spans="1:10" s="10" customFormat="1">
      <c r="A175" s="5" t="s">
        <v>51</v>
      </c>
      <c r="B175" s="9"/>
      <c r="C175" s="9"/>
      <c r="D175" s="268" t="s">
        <v>48</v>
      </c>
      <c r="E175" s="269"/>
      <c r="F175" s="70"/>
      <c r="G175" s="80">
        <f>G176+G177+G180</f>
        <v>14885900</v>
      </c>
      <c r="H175" s="80">
        <f t="shared" ref="H175:J175" si="7">H176+H177+H180</f>
        <v>14885900</v>
      </c>
      <c r="I175" s="80"/>
      <c r="J175" s="80">
        <f t="shared" si="7"/>
        <v>3385900</v>
      </c>
    </row>
    <row r="176" spans="1:10" ht="93.75">
      <c r="A176" s="6" t="s">
        <v>336</v>
      </c>
      <c r="B176" s="25" t="s">
        <v>161</v>
      </c>
      <c r="C176" s="25" t="s">
        <v>141</v>
      </c>
      <c r="D176" s="7" t="s">
        <v>162</v>
      </c>
      <c r="E176" s="22" t="s">
        <v>3</v>
      </c>
      <c r="F176" s="22" t="s">
        <v>68</v>
      </c>
      <c r="G176" s="82">
        <v>30000</v>
      </c>
      <c r="H176" s="91">
        <v>30000</v>
      </c>
      <c r="I176" s="103">
        <v>1</v>
      </c>
      <c r="J176" s="91">
        <v>30000</v>
      </c>
    </row>
    <row r="177" spans="1:10" ht="37.5">
      <c r="A177" s="6" t="s">
        <v>337</v>
      </c>
      <c r="B177" s="25" t="s">
        <v>49</v>
      </c>
      <c r="C177" s="25" t="s">
        <v>338</v>
      </c>
      <c r="D177" s="24" t="s">
        <v>339</v>
      </c>
      <c r="E177" s="22" t="s">
        <v>3</v>
      </c>
      <c r="F177" s="22" t="s">
        <v>68</v>
      </c>
      <c r="G177" s="82">
        <f>10000000-6000000+3480900-1625000-200000-3000000+11500000</f>
        <v>14155900</v>
      </c>
      <c r="H177" s="91">
        <f>10000000-6000000+3480900-1625000-200000-3000000+11500000</f>
        <v>14155900</v>
      </c>
      <c r="I177" s="103">
        <v>1</v>
      </c>
      <c r="J177" s="91">
        <f>10000000-6000000+3480900-1625000-200000-3000000</f>
        <v>2655900</v>
      </c>
    </row>
    <row r="178" spans="1:10">
      <c r="A178" s="6"/>
      <c r="B178" s="25"/>
      <c r="C178" s="25"/>
      <c r="D178" s="24"/>
      <c r="E178" s="22" t="s">
        <v>340</v>
      </c>
      <c r="F178" s="22"/>
      <c r="G178" s="82"/>
      <c r="H178" s="91"/>
      <c r="I178" s="103"/>
      <c r="J178" s="91"/>
    </row>
    <row r="179" spans="1:10" s="43" customFormat="1" ht="56.25">
      <c r="A179" s="105"/>
      <c r="B179" s="106"/>
      <c r="C179" s="106"/>
      <c r="D179" s="41"/>
      <c r="E179" s="42" t="s">
        <v>341</v>
      </c>
      <c r="F179" s="42" t="s">
        <v>68</v>
      </c>
      <c r="G179" s="88">
        <v>11500000</v>
      </c>
      <c r="H179" s="107">
        <v>11500000</v>
      </c>
      <c r="I179" s="108"/>
      <c r="J179" s="107"/>
    </row>
    <row r="180" spans="1:10" s="43" customFormat="1" ht="20.25" customHeight="1">
      <c r="A180" s="6" t="s">
        <v>342</v>
      </c>
      <c r="B180" s="25" t="s">
        <v>343</v>
      </c>
      <c r="C180" s="25" t="s">
        <v>49</v>
      </c>
      <c r="D180" s="24" t="s">
        <v>344</v>
      </c>
      <c r="E180" s="22" t="s">
        <v>55</v>
      </c>
      <c r="F180" s="22"/>
      <c r="G180" s="82">
        <f>G181</f>
        <v>700000</v>
      </c>
      <c r="H180" s="82">
        <f t="shared" ref="H180:J180" si="8">H181</f>
        <v>700000</v>
      </c>
      <c r="I180" s="82"/>
      <c r="J180" s="82">
        <f t="shared" si="8"/>
        <v>700000</v>
      </c>
    </row>
    <row r="181" spans="1:10" s="43" customFormat="1" ht="112.5">
      <c r="A181" s="105"/>
      <c r="B181" s="106"/>
      <c r="C181" s="106"/>
      <c r="D181" s="41"/>
      <c r="E181" s="42" t="s">
        <v>345</v>
      </c>
      <c r="F181" s="42" t="s">
        <v>68</v>
      </c>
      <c r="G181" s="88">
        <v>700000</v>
      </c>
      <c r="H181" s="107">
        <v>700000</v>
      </c>
      <c r="I181" s="108">
        <v>1</v>
      </c>
      <c r="J181" s="107">
        <v>700000</v>
      </c>
    </row>
    <row r="182" spans="1:10" s="111" customFormat="1" ht="54" customHeight="1">
      <c r="A182" s="280" t="s">
        <v>346</v>
      </c>
      <c r="B182" s="281"/>
      <c r="C182" s="281"/>
      <c r="D182" s="281"/>
      <c r="E182" s="282"/>
      <c r="F182" s="109"/>
      <c r="G182" s="110">
        <f>G183+G185+G200</f>
        <v>9800000</v>
      </c>
      <c r="H182" s="110">
        <f t="shared" ref="H182:J182" si="9">H183+H185+H200</f>
        <v>23593700</v>
      </c>
      <c r="I182" s="110"/>
      <c r="J182" s="110">
        <f t="shared" si="9"/>
        <v>23593700</v>
      </c>
    </row>
    <row r="183" spans="1:10" s="43" customFormat="1">
      <c r="A183" s="5" t="s">
        <v>169</v>
      </c>
      <c r="B183" s="5"/>
      <c r="C183" s="5"/>
      <c r="D183" s="268" t="s">
        <v>168</v>
      </c>
      <c r="E183" s="269"/>
      <c r="F183" s="42"/>
      <c r="G183" s="80">
        <f>G184</f>
        <v>0</v>
      </c>
      <c r="H183" s="80">
        <f t="shared" ref="H183:J183" si="10">H184</f>
        <v>6363700</v>
      </c>
      <c r="I183" s="80"/>
      <c r="J183" s="80">
        <f t="shared" si="10"/>
        <v>6363700</v>
      </c>
    </row>
    <row r="184" spans="1:10" s="43" customFormat="1" ht="56.25">
      <c r="A184" s="6" t="s">
        <v>181</v>
      </c>
      <c r="B184" s="6" t="s">
        <v>52</v>
      </c>
      <c r="C184" s="6" t="s">
        <v>10</v>
      </c>
      <c r="D184" s="7" t="s">
        <v>35</v>
      </c>
      <c r="E184" s="83" t="s">
        <v>182</v>
      </c>
      <c r="F184" s="83"/>
      <c r="G184" s="81"/>
      <c r="H184" s="82">
        <f>10000000-1500000-2136300</f>
        <v>6363700</v>
      </c>
      <c r="I184" s="32"/>
      <c r="J184" s="81">
        <f>10000000-1500000-2136300</f>
        <v>6363700</v>
      </c>
    </row>
    <row r="185" spans="1:10" s="43" customFormat="1" ht="47.25" customHeight="1">
      <c r="A185" s="5" t="s">
        <v>30</v>
      </c>
      <c r="B185" s="5"/>
      <c r="C185" s="5"/>
      <c r="D185" s="268" t="s">
        <v>6</v>
      </c>
      <c r="E185" s="269"/>
      <c r="F185" s="83"/>
      <c r="G185" s="84">
        <f>G186+G191+G196</f>
        <v>9800000</v>
      </c>
      <c r="H185" s="84">
        <f t="shared" ref="H185:J185" si="11">H186+H191+H196</f>
        <v>9800000</v>
      </c>
      <c r="I185" s="84"/>
      <c r="J185" s="84">
        <f t="shared" si="11"/>
        <v>9800000</v>
      </c>
    </row>
    <row r="186" spans="1:10" ht="41.25" customHeight="1">
      <c r="A186" s="271" t="s">
        <v>40</v>
      </c>
      <c r="B186" s="271" t="s">
        <v>39</v>
      </c>
      <c r="C186" s="271" t="s">
        <v>8</v>
      </c>
      <c r="D186" s="283" t="s">
        <v>41</v>
      </c>
      <c r="E186" s="92" t="s">
        <v>204</v>
      </c>
      <c r="F186" s="92"/>
      <c r="G186" s="81">
        <f>G187+G188+G189+G190</f>
        <v>3500000</v>
      </c>
      <c r="H186" s="81">
        <f t="shared" ref="H186" si="12">H187+H188+H189+H190</f>
        <v>3500000</v>
      </c>
      <c r="I186" s="81"/>
      <c r="J186" s="81">
        <f t="shared" ref="J186" si="13">J187+J188+J189+J190</f>
        <v>3500000</v>
      </c>
    </row>
    <row r="187" spans="1:10" ht="94.5">
      <c r="A187" s="272"/>
      <c r="B187" s="272"/>
      <c r="C187" s="272"/>
      <c r="D187" s="284"/>
      <c r="E187" s="93" t="s">
        <v>205</v>
      </c>
      <c r="F187" s="42"/>
      <c r="G187" s="88">
        <v>425000</v>
      </c>
      <c r="H187" s="88">
        <v>425000</v>
      </c>
      <c r="I187" s="40">
        <v>1</v>
      </c>
      <c r="J187" s="88">
        <v>425000</v>
      </c>
    </row>
    <row r="188" spans="1:10" ht="94.5">
      <c r="A188" s="272"/>
      <c r="B188" s="272"/>
      <c r="C188" s="272"/>
      <c r="D188" s="284"/>
      <c r="E188" s="93" t="s">
        <v>206</v>
      </c>
      <c r="F188" s="42"/>
      <c r="G188" s="88">
        <v>1500000</v>
      </c>
      <c r="H188" s="88">
        <v>1500000</v>
      </c>
      <c r="I188" s="40">
        <v>1</v>
      </c>
      <c r="J188" s="88">
        <v>1500000</v>
      </c>
    </row>
    <row r="189" spans="1:10" ht="94.5">
      <c r="A189" s="272"/>
      <c r="B189" s="272"/>
      <c r="C189" s="272"/>
      <c r="D189" s="284"/>
      <c r="E189" s="93" t="s">
        <v>207</v>
      </c>
      <c r="F189" s="42"/>
      <c r="G189" s="88">
        <v>750000</v>
      </c>
      <c r="H189" s="88">
        <v>750000</v>
      </c>
      <c r="I189" s="40">
        <v>1</v>
      </c>
      <c r="J189" s="88">
        <v>750000</v>
      </c>
    </row>
    <row r="190" spans="1:10" ht="94.5">
      <c r="A190" s="272"/>
      <c r="B190" s="272"/>
      <c r="C190" s="272"/>
      <c r="D190" s="284"/>
      <c r="E190" s="93" t="s">
        <v>208</v>
      </c>
      <c r="F190" s="42"/>
      <c r="G190" s="88">
        <v>825000</v>
      </c>
      <c r="H190" s="88">
        <v>825000</v>
      </c>
      <c r="I190" s="40">
        <v>1</v>
      </c>
      <c r="J190" s="88">
        <v>825000</v>
      </c>
    </row>
    <row r="191" spans="1:10" s="43" customFormat="1">
      <c r="A191" s="6"/>
      <c r="B191" s="6"/>
      <c r="C191" s="6"/>
      <c r="D191" s="276" t="s">
        <v>73</v>
      </c>
      <c r="E191" s="277"/>
      <c r="F191" s="83"/>
      <c r="G191" s="81">
        <f>G192</f>
        <v>2500000</v>
      </c>
      <c r="H191" s="81">
        <f t="shared" ref="H191:J191" si="14">H192</f>
        <v>2500000</v>
      </c>
      <c r="I191" s="81"/>
      <c r="J191" s="81">
        <f t="shared" si="14"/>
        <v>2500000</v>
      </c>
    </row>
    <row r="192" spans="1:10" s="43" customFormat="1" ht="70.5" customHeight="1">
      <c r="A192" s="271" t="s">
        <v>50</v>
      </c>
      <c r="B192" s="271" t="s">
        <v>23</v>
      </c>
      <c r="C192" s="271" t="s">
        <v>8</v>
      </c>
      <c r="D192" s="278"/>
      <c r="E192" s="73" t="s">
        <v>347</v>
      </c>
      <c r="F192" s="83"/>
      <c r="G192" s="81">
        <f>G193+G194+G195</f>
        <v>2500000</v>
      </c>
      <c r="H192" s="81">
        <f t="shared" ref="H192:J192" si="15">H193+H194+H195</f>
        <v>2500000</v>
      </c>
      <c r="I192" s="81"/>
      <c r="J192" s="81">
        <f t="shared" si="15"/>
        <v>2500000</v>
      </c>
    </row>
    <row r="193" spans="1:10" s="43" customFormat="1">
      <c r="A193" s="272"/>
      <c r="B193" s="272"/>
      <c r="C193" s="272"/>
      <c r="D193" s="279"/>
      <c r="E193" s="44" t="s">
        <v>239</v>
      </c>
      <c r="F193" s="83"/>
      <c r="G193" s="87">
        <v>500000</v>
      </c>
      <c r="H193" s="87">
        <v>500000</v>
      </c>
      <c r="I193" s="89"/>
      <c r="J193" s="87">
        <v>500000</v>
      </c>
    </row>
    <row r="194" spans="1:10" s="43" customFormat="1" ht="75">
      <c r="A194" s="272"/>
      <c r="B194" s="272"/>
      <c r="C194" s="272"/>
      <c r="D194" s="279"/>
      <c r="E194" s="44" t="s">
        <v>240</v>
      </c>
      <c r="F194" s="83"/>
      <c r="G194" s="87">
        <v>1400000</v>
      </c>
      <c r="H194" s="87">
        <v>1400000</v>
      </c>
      <c r="I194" s="89"/>
      <c r="J194" s="87">
        <v>1400000</v>
      </c>
    </row>
    <row r="195" spans="1:10" s="43" customFormat="1" ht="80.25" customHeight="1">
      <c r="A195" s="272"/>
      <c r="B195" s="272"/>
      <c r="C195" s="272"/>
      <c r="D195" s="279"/>
      <c r="E195" s="44" t="s">
        <v>241</v>
      </c>
      <c r="F195" s="42"/>
      <c r="G195" s="88">
        <v>600000</v>
      </c>
      <c r="H195" s="88">
        <v>600000</v>
      </c>
      <c r="I195" s="108"/>
      <c r="J195" s="88">
        <v>600000</v>
      </c>
    </row>
    <row r="196" spans="1:10" s="43" customFormat="1" ht="61.5" customHeight="1">
      <c r="A196" s="271" t="s">
        <v>45</v>
      </c>
      <c r="B196" s="271" t="s">
        <v>44</v>
      </c>
      <c r="C196" s="271" t="s">
        <v>11</v>
      </c>
      <c r="D196" s="274" t="s">
        <v>268</v>
      </c>
      <c r="E196" s="275"/>
      <c r="F196" s="23"/>
      <c r="G196" s="81">
        <f>G197+G198+G199</f>
        <v>3800000</v>
      </c>
      <c r="H196" s="81">
        <f t="shared" ref="H196:J196" si="16">H197+H198+H199</f>
        <v>3800000</v>
      </c>
      <c r="I196" s="81"/>
      <c r="J196" s="81">
        <f t="shared" si="16"/>
        <v>3800000</v>
      </c>
    </row>
    <row r="197" spans="1:10" s="43" customFormat="1" ht="21" customHeight="1">
      <c r="A197" s="272"/>
      <c r="B197" s="272"/>
      <c r="C197" s="272"/>
      <c r="D197" s="112"/>
      <c r="E197" s="45" t="s">
        <v>272</v>
      </c>
      <c r="F197" s="11"/>
      <c r="G197" s="97">
        <v>1300000</v>
      </c>
      <c r="H197" s="97">
        <v>1300000</v>
      </c>
      <c r="I197" s="35"/>
      <c r="J197" s="97">
        <v>1300000</v>
      </c>
    </row>
    <row r="198" spans="1:10" s="43" customFormat="1" ht="38.25" customHeight="1">
      <c r="A198" s="272"/>
      <c r="B198" s="272"/>
      <c r="C198" s="272"/>
      <c r="D198" s="112"/>
      <c r="E198" s="45" t="s">
        <v>273</v>
      </c>
      <c r="F198" s="11"/>
      <c r="G198" s="97">
        <v>1300000</v>
      </c>
      <c r="H198" s="97">
        <v>1300000</v>
      </c>
      <c r="I198" s="35"/>
      <c r="J198" s="97">
        <v>1300000</v>
      </c>
    </row>
    <row r="199" spans="1:10" s="43" customFormat="1" ht="24.75" customHeight="1">
      <c r="A199" s="273"/>
      <c r="B199" s="273"/>
      <c r="C199" s="273"/>
      <c r="D199" s="112"/>
      <c r="E199" s="45" t="s">
        <v>274</v>
      </c>
      <c r="F199" s="11"/>
      <c r="G199" s="97">
        <v>1200000</v>
      </c>
      <c r="H199" s="97">
        <v>1200000</v>
      </c>
      <c r="I199" s="35"/>
      <c r="J199" s="97">
        <v>1200000</v>
      </c>
    </row>
    <row r="200" spans="1:10" s="10" customFormat="1" ht="41.25" customHeight="1">
      <c r="A200" s="5" t="s">
        <v>4</v>
      </c>
      <c r="B200" s="5"/>
      <c r="C200" s="5"/>
      <c r="D200" s="268" t="s">
        <v>9</v>
      </c>
      <c r="E200" s="269"/>
      <c r="F200" s="70"/>
      <c r="G200" s="80"/>
      <c r="H200" s="80">
        <f>H201</f>
        <v>7430000</v>
      </c>
      <c r="I200" s="80">
        <f t="shared" ref="I200:J201" si="17">I201</f>
        <v>0</v>
      </c>
      <c r="J200" s="80">
        <f t="shared" si="17"/>
        <v>7430000</v>
      </c>
    </row>
    <row r="201" spans="1:10" s="10" customFormat="1" ht="41.25" customHeight="1">
      <c r="A201" s="5" t="s">
        <v>5</v>
      </c>
      <c r="B201" s="5"/>
      <c r="C201" s="5"/>
      <c r="D201" s="268" t="s">
        <v>9</v>
      </c>
      <c r="E201" s="269"/>
      <c r="F201" s="70"/>
      <c r="G201" s="80"/>
      <c r="H201" s="80">
        <f>H202</f>
        <v>7430000</v>
      </c>
      <c r="I201" s="80">
        <f t="shared" si="17"/>
        <v>0</v>
      </c>
      <c r="J201" s="80">
        <f t="shared" si="17"/>
        <v>7430000</v>
      </c>
    </row>
    <row r="202" spans="1:10" s="43" customFormat="1" ht="78" customHeight="1">
      <c r="A202" s="78" t="s">
        <v>54</v>
      </c>
      <c r="B202" s="78" t="s">
        <v>52</v>
      </c>
      <c r="C202" s="78" t="s">
        <v>10</v>
      </c>
      <c r="D202" s="112" t="s">
        <v>35</v>
      </c>
      <c r="E202" s="45" t="s">
        <v>69</v>
      </c>
      <c r="F202" s="11"/>
      <c r="G202" s="97"/>
      <c r="H202" s="97">
        <v>7430000</v>
      </c>
      <c r="I202" s="35"/>
      <c r="J202" s="97">
        <v>7430000</v>
      </c>
    </row>
    <row r="203" spans="1:10">
      <c r="A203" s="19"/>
      <c r="B203" s="6"/>
      <c r="C203" s="6"/>
      <c r="D203" s="13"/>
      <c r="E203" s="18" t="s">
        <v>0</v>
      </c>
      <c r="F203" s="18"/>
      <c r="G203" s="113">
        <f>G10+G17+G25+G29+G35+G38+G148+G165+G174+G182</f>
        <v>840917463</v>
      </c>
      <c r="H203" s="113">
        <f>H10+H17+H25+H29+H35+H38+H148+H165+H174+H182</f>
        <v>202860800</v>
      </c>
      <c r="I203" s="113">
        <f>I10+I17+I25+I29+I35+I38+I148+I165+I174+I182</f>
        <v>0</v>
      </c>
      <c r="J203" s="113">
        <f>J10+J17+J25+J29+J35+J38+J148+J165+J174+J182</f>
        <v>154426300</v>
      </c>
    </row>
    <row r="204" spans="1:10" s="10" customFormat="1">
      <c r="A204" s="14"/>
      <c r="B204" s="10" t="s">
        <v>348</v>
      </c>
      <c r="D204" s="270"/>
      <c r="E204" s="270"/>
      <c r="F204" s="75"/>
      <c r="H204" s="20"/>
      <c r="I204" s="1"/>
    </row>
    <row r="205" spans="1:10">
      <c r="A205" s="36"/>
    </row>
    <row r="207" spans="1:10">
      <c r="G207" s="26"/>
      <c r="H207" s="26"/>
      <c r="I207" s="26"/>
      <c r="J207" s="26"/>
    </row>
    <row r="208" spans="1:10">
      <c r="G208" s="26"/>
      <c r="H208" s="26"/>
      <c r="I208" s="26"/>
      <c r="J208" s="26"/>
    </row>
  </sheetData>
  <mergeCells count="89">
    <mergeCell ref="D36:E36"/>
    <mergeCell ref="D38:E38"/>
    <mergeCell ref="D39:E39"/>
    <mergeCell ref="A41:A58"/>
    <mergeCell ref="B41:B58"/>
    <mergeCell ref="C41:C58"/>
    <mergeCell ref="D41:D58"/>
    <mergeCell ref="A67:A81"/>
    <mergeCell ref="B67:B81"/>
    <mergeCell ref="C67:C81"/>
    <mergeCell ref="D67:D81"/>
    <mergeCell ref="A84:A114"/>
    <mergeCell ref="B84:B114"/>
    <mergeCell ref="C84:C114"/>
    <mergeCell ref="D84:E84"/>
    <mergeCell ref="D85:D114"/>
    <mergeCell ref="D25:E25"/>
    <mergeCell ref="D26:E26"/>
    <mergeCell ref="D29:E29"/>
    <mergeCell ref="D30:E30"/>
    <mergeCell ref="D35:E35"/>
    <mergeCell ref="A5:I5"/>
    <mergeCell ref="A7:A8"/>
    <mergeCell ref="B7:B8"/>
    <mergeCell ref="C7:C8"/>
    <mergeCell ref="D7:D8"/>
    <mergeCell ref="E7:E8"/>
    <mergeCell ref="F7:F8"/>
    <mergeCell ref="G7:G8"/>
    <mergeCell ref="H7:H8"/>
    <mergeCell ref="I7:I8"/>
    <mergeCell ref="D10:E10"/>
    <mergeCell ref="D11:E11"/>
    <mergeCell ref="D17:E17"/>
    <mergeCell ref="D18:E18"/>
    <mergeCell ref="A20:A22"/>
    <mergeCell ref="B20:B22"/>
    <mergeCell ref="C20:C22"/>
    <mergeCell ref="D20:D22"/>
    <mergeCell ref="C59:C63"/>
    <mergeCell ref="D59:D63"/>
    <mergeCell ref="A64:A66"/>
    <mergeCell ref="B64:B66"/>
    <mergeCell ref="C64:C66"/>
    <mergeCell ref="D64:D66"/>
    <mergeCell ref="A59:A63"/>
    <mergeCell ref="B59:B63"/>
    <mergeCell ref="A115:A118"/>
    <mergeCell ref="B115:B118"/>
    <mergeCell ref="C115:C118"/>
    <mergeCell ref="D115:D118"/>
    <mergeCell ref="A119:A135"/>
    <mergeCell ref="B119:B135"/>
    <mergeCell ref="C119:C135"/>
    <mergeCell ref="D119:D135"/>
    <mergeCell ref="A136:A147"/>
    <mergeCell ref="B136:B147"/>
    <mergeCell ref="C136:C147"/>
    <mergeCell ref="D136:D147"/>
    <mergeCell ref="D148:E148"/>
    <mergeCell ref="D149:E149"/>
    <mergeCell ref="A152:A163"/>
    <mergeCell ref="B152:B163"/>
    <mergeCell ref="C152:C163"/>
    <mergeCell ref="D152:D163"/>
    <mergeCell ref="D165:E165"/>
    <mergeCell ref="D166:E166"/>
    <mergeCell ref="D172:E172"/>
    <mergeCell ref="D174:E174"/>
    <mergeCell ref="D175:E175"/>
    <mergeCell ref="A182:E182"/>
    <mergeCell ref="D183:E183"/>
    <mergeCell ref="D185:E185"/>
    <mergeCell ref="A186:A190"/>
    <mergeCell ref="B186:B190"/>
    <mergeCell ref="C186:C190"/>
    <mergeCell ref="D186:D190"/>
    <mergeCell ref="D191:E191"/>
    <mergeCell ref="A192:A195"/>
    <mergeCell ref="B192:B195"/>
    <mergeCell ref="C192:C195"/>
    <mergeCell ref="D192:D195"/>
    <mergeCell ref="D201:E201"/>
    <mergeCell ref="D204:E204"/>
    <mergeCell ref="A196:A199"/>
    <mergeCell ref="B196:B199"/>
    <mergeCell ref="C196:C199"/>
    <mergeCell ref="D196:E196"/>
    <mergeCell ref="D200:E200"/>
  </mergeCells>
  <pageMargins left="0.15748031496062992" right="0.15748031496062992" top="0.15748031496062992" bottom="0.11811023622047245" header="0.15748031496062992" footer="0.11811023622047245"/>
  <pageSetup paperSize="9" scale="61" fitToHeight="19" orientation="landscape" horizontalDpi="4294967293" r:id="rId1"/>
  <rowBreaks count="2" manualBreakCount="2">
    <brk id="24" max="9" man="1"/>
    <brk id="37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9"/>
  <sheetViews>
    <sheetView zoomScale="70" zoomScaleNormal="70" zoomScaleSheetLayoutView="47" workbookViewId="0">
      <selection activeCell="E15" sqref="E15"/>
    </sheetView>
  </sheetViews>
  <sheetFormatPr defaultRowHeight="18.75"/>
  <cols>
    <col min="1" max="1" width="17.140625" style="75" customWidth="1"/>
    <col min="2" max="2" width="14.85546875" style="1" customWidth="1"/>
    <col min="3" max="3" width="16.5703125" style="1" customWidth="1"/>
    <col min="4" max="4" width="41.140625" style="1" customWidth="1"/>
    <col min="5" max="5" width="51.28515625" style="15" customWidth="1"/>
    <col min="6" max="6" width="10" style="15" customWidth="1"/>
    <col min="7" max="7" width="23.7109375" style="1" customWidth="1"/>
    <col min="8" max="8" width="20.42578125" style="1" customWidth="1"/>
    <col min="9" max="9" width="19.42578125" style="1" customWidth="1"/>
    <col min="10" max="10" width="21.5703125" style="1" customWidth="1"/>
    <col min="11" max="16384" width="9.140625" style="1"/>
  </cols>
  <sheetData>
    <row r="1" spans="1:10">
      <c r="H1" s="16" t="s">
        <v>391</v>
      </c>
      <c r="I1" s="16"/>
    </row>
    <row r="2" spans="1:10">
      <c r="H2" s="16" t="s">
        <v>135</v>
      </c>
      <c r="I2" s="8"/>
    </row>
    <row r="3" spans="1:10">
      <c r="H3" s="16" t="s">
        <v>70</v>
      </c>
      <c r="I3" s="8"/>
    </row>
    <row r="4" spans="1:10">
      <c r="H4" s="17" t="s">
        <v>456</v>
      </c>
    </row>
    <row r="5" spans="1:10">
      <c r="A5" s="127"/>
      <c r="H5" s="17"/>
    </row>
    <row r="6" spans="1:10" s="4" customFormat="1" ht="20.25">
      <c r="A6" s="294" t="s">
        <v>121</v>
      </c>
      <c r="B6" s="294"/>
      <c r="C6" s="294"/>
      <c r="D6" s="294"/>
      <c r="E6" s="294"/>
      <c r="F6" s="294"/>
      <c r="G6" s="294"/>
      <c r="H6" s="294"/>
      <c r="I6" s="294"/>
      <c r="J6" s="2"/>
    </row>
    <row r="7" spans="1:10" s="4" customFormat="1" ht="20.25">
      <c r="A7" s="3"/>
      <c r="D7" s="2"/>
      <c r="E7" s="21"/>
      <c r="F7" s="21"/>
      <c r="G7" s="2"/>
      <c r="H7" s="2"/>
      <c r="I7" s="2"/>
      <c r="J7" s="48" t="s">
        <v>81</v>
      </c>
    </row>
    <row r="8" spans="1:10">
      <c r="A8" s="295" t="s">
        <v>59</v>
      </c>
      <c r="B8" s="295" t="s">
        <v>60</v>
      </c>
      <c r="C8" s="295" t="s">
        <v>61</v>
      </c>
      <c r="D8" s="297" t="s">
        <v>62</v>
      </c>
      <c r="E8" s="298" t="s">
        <v>63</v>
      </c>
      <c r="F8" s="299" t="s">
        <v>64</v>
      </c>
      <c r="G8" s="297" t="s">
        <v>65</v>
      </c>
      <c r="H8" s="297" t="s">
        <v>66</v>
      </c>
      <c r="I8" s="297" t="s">
        <v>67</v>
      </c>
      <c r="J8" s="72" t="s">
        <v>2</v>
      </c>
    </row>
    <row r="9" spans="1:10" ht="187.5">
      <c r="A9" s="296"/>
      <c r="B9" s="296"/>
      <c r="C9" s="296"/>
      <c r="D9" s="297"/>
      <c r="E9" s="298"/>
      <c r="F9" s="300"/>
      <c r="G9" s="297"/>
      <c r="H9" s="297"/>
      <c r="I9" s="297"/>
      <c r="J9" s="72" t="s">
        <v>1</v>
      </c>
    </row>
    <row r="10" spans="1:10">
      <c r="A10" s="71">
        <v>1</v>
      </c>
      <c r="B10" s="71">
        <v>2</v>
      </c>
      <c r="C10" s="71">
        <v>3</v>
      </c>
      <c r="D10" s="72">
        <v>4</v>
      </c>
      <c r="E10" s="72">
        <v>5</v>
      </c>
      <c r="F10" s="37">
        <v>6</v>
      </c>
      <c r="G10" s="72">
        <v>7</v>
      </c>
      <c r="H10" s="72">
        <v>8</v>
      </c>
      <c r="I10" s="72">
        <v>9</v>
      </c>
      <c r="J10" s="72">
        <v>10</v>
      </c>
    </row>
    <row r="11" spans="1:10" s="10" customFormat="1">
      <c r="A11" s="5" t="s">
        <v>20</v>
      </c>
      <c r="B11" s="5"/>
      <c r="C11" s="5"/>
      <c r="D11" s="268" t="s">
        <v>76</v>
      </c>
      <c r="E11" s="269"/>
      <c r="F11" s="70"/>
      <c r="G11" s="54">
        <f>G12</f>
        <v>433000</v>
      </c>
      <c r="H11" s="54">
        <f>H12</f>
        <v>433000</v>
      </c>
      <c r="I11" s="31"/>
      <c r="J11" s="54">
        <f>J12</f>
        <v>433000</v>
      </c>
    </row>
    <row r="12" spans="1:10" s="10" customFormat="1">
      <c r="A12" s="5" t="s">
        <v>21</v>
      </c>
      <c r="B12" s="5"/>
      <c r="C12" s="5"/>
      <c r="D12" s="268" t="s">
        <v>76</v>
      </c>
      <c r="E12" s="269"/>
      <c r="F12" s="70"/>
      <c r="G12" s="54">
        <f>G13+G14+G15</f>
        <v>433000</v>
      </c>
      <c r="H12" s="54">
        <f t="shared" ref="H12:J12" si="0">H13+H14+H15</f>
        <v>433000</v>
      </c>
      <c r="I12" s="54"/>
      <c r="J12" s="54">
        <f t="shared" si="0"/>
        <v>433000</v>
      </c>
    </row>
    <row r="13" spans="1:10" s="10" customFormat="1" ht="37.5">
      <c r="A13" s="6" t="s">
        <v>130</v>
      </c>
      <c r="B13" s="6" t="s">
        <v>131</v>
      </c>
      <c r="C13" s="6" t="s">
        <v>132</v>
      </c>
      <c r="D13" s="7" t="s">
        <v>133</v>
      </c>
      <c r="E13" s="11" t="s">
        <v>3</v>
      </c>
      <c r="F13" s="69" t="s">
        <v>68</v>
      </c>
      <c r="G13" s="56">
        <f>100000+500000-500000</f>
        <v>100000</v>
      </c>
      <c r="H13" s="56">
        <f>100000+500000-500000</f>
        <v>100000</v>
      </c>
      <c r="I13" s="34">
        <v>1</v>
      </c>
      <c r="J13" s="56">
        <f>100000+500000-500000</f>
        <v>100000</v>
      </c>
    </row>
    <row r="14" spans="1:10" ht="37.5">
      <c r="A14" s="6" t="s">
        <v>126</v>
      </c>
      <c r="B14" s="6" t="s">
        <v>127</v>
      </c>
      <c r="C14" s="6" t="s">
        <v>128</v>
      </c>
      <c r="D14" s="11" t="s">
        <v>129</v>
      </c>
      <c r="E14" s="11" t="s">
        <v>3</v>
      </c>
      <c r="F14" s="69" t="s">
        <v>68</v>
      </c>
      <c r="G14" s="56">
        <v>33000</v>
      </c>
      <c r="H14" s="56">
        <v>33000</v>
      </c>
      <c r="I14" s="34">
        <v>1</v>
      </c>
      <c r="J14" s="56">
        <v>33000</v>
      </c>
    </row>
    <row r="15" spans="1:10" ht="56.25">
      <c r="A15" s="6" t="s">
        <v>22</v>
      </c>
      <c r="B15" s="6" t="s">
        <v>23</v>
      </c>
      <c r="C15" s="6" t="s">
        <v>8</v>
      </c>
      <c r="D15" s="7" t="s">
        <v>24</v>
      </c>
      <c r="E15" s="22" t="s">
        <v>82</v>
      </c>
      <c r="F15" s="51" t="s">
        <v>68</v>
      </c>
      <c r="G15" s="53">
        <v>300000</v>
      </c>
      <c r="H15" s="53">
        <v>300000</v>
      </c>
      <c r="I15" s="34">
        <v>1</v>
      </c>
      <c r="J15" s="60">
        <v>300000</v>
      </c>
    </row>
    <row r="16" spans="1:10">
      <c r="A16" s="5" t="s">
        <v>25</v>
      </c>
      <c r="B16" s="5"/>
      <c r="C16" s="5"/>
      <c r="D16" s="289" t="s">
        <v>14</v>
      </c>
      <c r="E16" s="290"/>
      <c r="F16" s="76"/>
      <c r="G16" s="55">
        <f>G17</f>
        <v>1522272.3900000001</v>
      </c>
      <c r="H16" s="55">
        <f>H17</f>
        <v>1522272.3900000001</v>
      </c>
      <c r="I16" s="33"/>
      <c r="J16" s="55">
        <f>J17</f>
        <v>629314</v>
      </c>
    </row>
    <row r="17" spans="1:10">
      <c r="A17" s="5" t="s">
        <v>26</v>
      </c>
      <c r="B17" s="6"/>
      <c r="C17" s="6"/>
      <c r="D17" s="289" t="s">
        <v>14</v>
      </c>
      <c r="E17" s="290"/>
      <c r="F17" s="76"/>
      <c r="G17" s="55">
        <f>G18+G19+G27+G28+G29+G26</f>
        <v>1522272.3900000001</v>
      </c>
      <c r="H17" s="55">
        <f t="shared" ref="H17:J17" si="1">H18+H19+H27+H28+H29+H26</f>
        <v>1522272.3900000001</v>
      </c>
      <c r="I17" s="55"/>
      <c r="J17" s="55">
        <f t="shared" si="1"/>
        <v>629314</v>
      </c>
    </row>
    <row r="18" spans="1:10" ht="93.75">
      <c r="A18" s="77" t="s">
        <v>27</v>
      </c>
      <c r="B18" s="77" t="s">
        <v>15</v>
      </c>
      <c r="C18" s="77" t="s">
        <v>16</v>
      </c>
      <c r="D18" s="74" t="s">
        <v>28</v>
      </c>
      <c r="E18" s="22" t="s">
        <v>349</v>
      </c>
      <c r="F18" s="22" t="s">
        <v>68</v>
      </c>
      <c r="G18" s="53">
        <v>22958.39</v>
      </c>
      <c r="H18" s="56">
        <v>22958.39</v>
      </c>
      <c r="I18" s="32">
        <v>1</v>
      </c>
      <c r="J18" s="53"/>
    </row>
    <row r="19" spans="1:10" ht="41.25" customHeight="1">
      <c r="A19" s="271" t="s">
        <v>29</v>
      </c>
      <c r="B19" s="271" t="s">
        <v>17</v>
      </c>
      <c r="C19" s="271" t="s">
        <v>18</v>
      </c>
      <c r="D19" s="291" t="s">
        <v>19</v>
      </c>
      <c r="E19" s="27" t="s">
        <v>55</v>
      </c>
      <c r="F19" s="27" t="s">
        <v>68</v>
      </c>
      <c r="G19" s="55">
        <f>G20+G21+G22+G23+G24+G25</f>
        <v>762500</v>
      </c>
      <c r="H19" s="55">
        <f>H20+H21+H22+H23+H24+H25</f>
        <v>762500</v>
      </c>
      <c r="I19" s="55"/>
      <c r="J19" s="55">
        <f t="shared" ref="J19" si="2">J20+J21+J22+J23+J24+J25</f>
        <v>-107500</v>
      </c>
    </row>
    <row r="20" spans="1:10">
      <c r="A20" s="272"/>
      <c r="B20" s="272"/>
      <c r="C20" s="272"/>
      <c r="D20" s="292"/>
      <c r="E20" s="83" t="s">
        <v>395</v>
      </c>
      <c r="F20" s="83"/>
      <c r="G20" s="53">
        <v>-1000000</v>
      </c>
      <c r="H20" s="56">
        <v>-1000000</v>
      </c>
      <c r="I20" s="32"/>
      <c r="J20" s="53">
        <v>-1000000</v>
      </c>
    </row>
    <row r="21" spans="1:10">
      <c r="A21" s="272"/>
      <c r="B21" s="272"/>
      <c r="C21" s="272"/>
      <c r="D21" s="292"/>
      <c r="E21" s="83" t="s">
        <v>397</v>
      </c>
      <c r="F21" s="83"/>
      <c r="G21" s="53">
        <v>1000000</v>
      </c>
      <c r="H21" s="56">
        <v>1000000</v>
      </c>
      <c r="I21" s="32"/>
      <c r="J21" s="53">
        <v>1000000</v>
      </c>
    </row>
    <row r="22" spans="1:10" ht="31.5" customHeight="1">
      <c r="A22" s="272"/>
      <c r="B22" s="272"/>
      <c r="C22" s="272"/>
      <c r="D22" s="292"/>
      <c r="E22" s="22" t="s">
        <v>396</v>
      </c>
      <c r="F22" s="22" t="s">
        <v>68</v>
      </c>
      <c r="G22" s="53">
        <v>365500</v>
      </c>
      <c r="H22" s="56">
        <v>365500</v>
      </c>
      <c r="I22" s="32">
        <v>1</v>
      </c>
      <c r="J22" s="53">
        <v>365500</v>
      </c>
    </row>
    <row r="23" spans="1:10" ht="187.5">
      <c r="A23" s="272"/>
      <c r="B23" s="272"/>
      <c r="C23" s="272"/>
      <c r="D23" s="292"/>
      <c r="E23" s="22" t="s">
        <v>350</v>
      </c>
      <c r="F23" s="83" t="s">
        <v>68</v>
      </c>
      <c r="G23" s="53">
        <v>870000</v>
      </c>
      <c r="H23" s="56">
        <v>870000</v>
      </c>
      <c r="I23" s="32">
        <v>1</v>
      </c>
      <c r="J23" s="53"/>
    </row>
    <row r="24" spans="1:10">
      <c r="A24" s="272"/>
      <c r="B24" s="272"/>
      <c r="C24" s="272"/>
      <c r="D24" s="292"/>
      <c r="E24" s="83" t="s">
        <v>3</v>
      </c>
      <c r="F24" s="83"/>
      <c r="G24" s="53">
        <v>-1400000</v>
      </c>
      <c r="H24" s="56">
        <v>-1400000</v>
      </c>
      <c r="I24" s="32"/>
      <c r="J24" s="53">
        <v>-1400000</v>
      </c>
    </row>
    <row r="25" spans="1:10" ht="168.75">
      <c r="A25" s="272"/>
      <c r="B25" s="272"/>
      <c r="C25" s="272"/>
      <c r="D25" s="292"/>
      <c r="E25" s="83" t="s">
        <v>436</v>
      </c>
      <c r="F25" s="83" t="s">
        <v>68</v>
      </c>
      <c r="G25" s="53">
        <v>927000</v>
      </c>
      <c r="H25" s="56">
        <v>927000</v>
      </c>
      <c r="I25" s="32"/>
      <c r="J25" s="53">
        <v>927000</v>
      </c>
    </row>
    <row r="26" spans="1:10" ht="122.25" customHeight="1">
      <c r="A26" s="273"/>
      <c r="B26" s="273"/>
      <c r="C26" s="273"/>
      <c r="D26" s="145"/>
      <c r="E26" s="83" t="s">
        <v>437</v>
      </c>
      <c r="F26" s="83" t="s">
        <v>68</v>
      </c>
      <c r="G26" s="53">
        <v>12079</v>
      </c>
      <c r="H26" s="56">
        <v>12079</v>
      </c>
      <c r="I26" s="32"/>
      <c r="J26" s="53">
        <v>12079</v>
      </c>
    </row>
    <row r="27" spans="1:10" ht="168.75">
      <c r="A27" s="66" t="s">
        <v>149</v>
      </c>
      <c r="B27" s="66" t="s">
        <v>150</v>
      </c>
      <c r="C27" s="66" t="s">
        <v>151</v>
      </c>
      <c r="D27" s="143" t="s">
        <v>152</v>
      </c>
      <c r="E27" s="83" t="s">
        <v>436</v>
      </c>
      <c r="F27" s="83" t="s">
        <v>68</v>
      </c>
      <c r="G27" s="53">
        <v>61735</v>
      </c>
      <c r="H27" s="56">
        <v>61735</v>
      </c>
      <c r="I27" s="32"/>
      <c r="J27" s="53">
        <v>61735</v>
      </c>
    </row>
    <row r="28" spans="1:10" ht="75">
      <c r="A28" s="155" t="s">
        <v>452</v>
      </c>
      <c r="B28" s="155" t="s">
        <v>454</v>
      </c>
      <c r="C28" s="155" t="s">
        <v>455</v>
      </c>
      <c r="D28" s="156" t="s">
        <v>453</v>
      </c>
      <c r="E28" s="83" t="s">
        <v>3</v>
      </c>
      <c r="F28" s="83" t="s">
        <v>68</v>
      </c>
      <c r="G28" s="53">
        <v>300000</v>
      </c>
      <c r="H28" s="56">
        <v>300000</v>
      </c>
      <c r="I28" s="32"/>
      <c r="J28" s="53">
        <v>300000</v>
      </c>
    </row>
    <row r="29" spans="1:10" ht="37.5" customHeight="1">
      <c r="A29" s="144" t="s">
        <v>392</v>
      </c>
      <c r="B29" s="144" t="s">
        <v>393</v>
      </c>
      <c r="C29" s="144" t="s">
        <v>390</v>
      </c>
      <c r="D29" s="146" t="s">
        <v>394</v>
      </c>
      <c r="E29" s="83" t="s">
        <v>3</v>
      </c>
      <c r="F29" s="83" t="s">
        <v>68</v>
      </c>
      <c r="G29" s="53">
        <v>363000</v>
      </c>
      <c r="H29" s="56">
        <v>363000</v>
      </c>
      <c r="I29" s="32"/>
      <c r="J29" s="53">
        <v>363000</v>
      </c>
    </row>
    <row r="30" spans="1:10" s="10" customFormat="1" ht="39.75" customHeight="1">
      <c r="A30" s="5" t="s">
        <v>30</v>
      </c>
      <c r="B30" s="5"/>
      <c r="C30" s="5"/>
      <c r="D30" s="268" t="s">
        <v>6</v>
      </c>
      <c r="E30" s="269"/>
      <c r="F30" s="70"/>
      <c r="G30" s="55">
        <f>G31</f>
        <v>31713675.52</v>
      </c>
      <c r="H30" s="55">
        <f>H31</f>
        <v>35519907.409999996</v>
      </c>
      <c r="I30" s="33"/>
      <c r="J30" s="55">
        <f>J31</f>
        <v>29232408.210000001</v>
      </c>
    </row>
    <row r="31" spans="1:10" s="10" customFormat="1" ht="36.75" customHeight="1">
      <c r="A31" s="5" t="s">
        <v>31</v>
      </c>
      <c r="B31" s="5"/>
      <c r="C31" s="5"/>
      <c r="D31" s="268" t="s">
        <v>6</v>
      </c>
      <c r="E31" s="269"/>
      <c r="F31" s="70"/>
      <c r="G31" s="55">
        <f>G32+G73+G80+G81+G82+G123+G124+G129+G135+G136</f>
        <v>31713675.52</v>
      </c>
      <c r="H31" s="55">
        <f>H32+H73+H80+H81+H82+H123+H124+H129+H135+H136</f>
        <v>35519907.409999996</v>
      </c>
      <c r="I31" s="55"/>
      <c r="J31" s="55">
        <f>J32+J73+J80+J81+J82+J123+J124+J129+J135+J136</f>
        <v>29232408.210000001</v>
      </c>
    </row>
    <row r="32" spans="1:10" ht="21" customHeight="1">
      <c r="A32" s="271" t="s">
        <v>37</v>
      </c>
      <c r="B32" s="271" t="s">
        <v>36</v>
      </c>
      <c r="C32" s="271" t="s">
        <v>7</v>
      </c>
      <c r="D32" s="283" t="s">
        <v>38</v>
      </c>
      <c r="E32" s="27" t="s">
        <v>55</v>
      </c>
      <c r="F32" s="27"/>
      <c r="G32" s="55">
        <f>G33</f>
        <v>9203858.3200000003</v>
      </c>
      <c r="H32" s="55">
        <f t="shared" ref="H32:J32" si="3">H33</f>
        <v>8253858.3199999994</v>
      </c>
      <c r="I32" s="55"/>
      <c r="J32" s="55">
        <f t="shared" si="3"/>
        <v>7128808.3199999994</v>
      </c>
    </row>
    <row r="33" spans="1:10" ht="93.75">
      <c r="A33" s="272"/>
      <c r="B33" s="272"/>
      <c r="C33" s="272"/>
      <c r="D33" s="284"/>
      <c r="E33" s="22" t="s">
        <v>74</v>
      </c>
      <c r="F33" s="22" t="s">
        <v>68</v>
      </c>
      <c r="G33" s="53">
        <f>SUM(G34:G72)</f>
        <v>9203858.3200000003</v>
      </c>
      <c r="H33" s="53">
        <f t="shared" ref="H33:J33" si="4">SUM(H34:H72)</f>
        <v>8253858.3199999994</v>
      </c>
      <c r="I33" s="53"/>
      <c r="J33" s="53">
        <f t="shared" si="4"/>
        <v>7128808.3199999994</v>
      </c>
    </row>
    <row r="34" spans="1:10" s="43" customFormat="1" ht="75">
      <c r="A34" s="272"/>
      <c r="B34" s="272"/>
      <c r="C34" s="272"/>
      <c r="D34" s="284"/>
      <c r="E34" s="62" t="s">
        <v>85</v>
      </c>
      <c r="F34" s="42" t="s">
        <v>68</v>
      </c>
      <c r="G34" s="57">
        <v>294404.33</v>
      </c>
      <c r="H34" s="57">
        <v>294404.33</v>
      </c>
      <c r="I34" s="40">
        <v>1</v>
      </c>
      <c r="J34" s="57">
        <v>294404.33</v>
      </c>
    </row>
    <row r="35" spans="1:10" s="43" customFormat="1" ht="75">
      <c r="A35" s="272"/>
      <c r="B35" s="272"/>
      <c r="C35" s="272"/>
      <c r="D35" s="284"/>
      <c r="E35" s="62" t="s">
        <v>86</v>
      </c>
      <c r="F35" s="42" t="s">
        <v>68</v>
      </c>
      <c r="G35" s="57">
        <v>294404.33</v>
      </c>
      <c r="H35" s="57">
        <v>294404.33</v>
      </c>
      <c r="I35" s="40">
        <v>1</v>
      </c>
      <c r="J35" s="57">
        <v>294404.33</v>
      </c>
    </row>
    <row r="36" spans="1:10" s="43" customFormat="1" ht="75">
      <c r="A36" s="272"/>
      <c r="B36" s="272"/>
      <c r="C36" s="272"/>
      <c r="D36" s="284"/>
      <c r="E36" s="62" t="s">
        <v>87</v>
      </c>
      <c r="F36" s="42" t="s">
        <v>68</v>
      </c>
      <c r="G36" s="57">
        <v>214210.51</v>
      </c>
      <c r="H36" s="57">
        <v>214210.51</v>
      </c>
      <c r="I36" s="40">
        <v>1</v>
      </c>
      <c r="J36" s="57">
        <v>214210.51</v>
      </c>
    </row>
    <row r="37" spans="1:10" s="43" customFormat="1" ht="56.25">
      <c r="A37" s="272"/>
      <c r="B37" s="272"/>
      <c r="C37" s="272"/>
      <c r="D37" s="284"/>
      <c r="E37" s="62" t="s">
        <v>389</v>
      </c>
      <c r="F37" s="42" t="s">
        <v>68</v>
      </c>
      <c r="G37" s="57">
        <v>655000</v>
      </c>
      <c r="H37" s="57">
        <v>35000</v>
      </c>
      <c r="I37" s="40">
        <v>1</v>
      </c>
      <c r="J37" s="57">
        <v>35000</v>
      </c>
    </row>
    <row r="38" spans="1:10" s="43" customFormat="1" ht="75">
      <c r="A38" s="272"/>
      <c r="B38" s="272"/>
      <c r="C38" s="272"/>
      <c r="D38" s="284"/>
      <c r="E38" s="62" t="s">
        <v>134</v>
      </c>
      <c r="F38" s="42" t="s">
        <v>68</v>
      </c>
      <c r="G38" s="57">
        <f>4000000-2800000</f>
        <v>1200000</v>
      </c>
      <c r="H38" s="57">
        <f>4000000-2800000</f>
        <v>1200000</v>
      </c>
      <c r="I38" s="40">
        <v>1</v>
      </c>
      <c r="J38" s="57">
        <f>4000000-2800000</f>
        <v>1200000</v>
      </c>
    </row>
    <row r="39" spans="1:10" s="43" customFormat="1" ht="75">
      <c r="A39" s="272"/>
      <c r="B39" s="272"/>
      <c r="C39" s="272"/>
      <c r="D39" s="284"/>
      <c r="E39" s="62" t="s">
        <v>399</v>
      </c>
      <c r="F39" s="42" t="s">
        <v>68</v>
      </c>
      <c r="G39" s="57">
        <v>72000</v>
      </c>
      <c r="H39" s="57">
        <v>72000</v>
      </c>
      <c r="I39" s="40">
        <v>1</v>
      </c>
      <c r="J39" s="57">
        <v>72000</v>
      </c>
    </row>
    <row r="40" spans="1:10" s="43" customFormat="1" ht="75">
      <c r="A40" s="272"/>
      <c r="B40" s="272"/>
      <c r="C40" s="272"/>
      <c r="D40" s="284"/>
      <c r="E40" s="62" t="s">
        <v>403</v>
      </c>
      <c r="F40" s="42" t="s">
        <v>68</v>
      </c>
      <c r="G40" s="57">
        <v>100000</v>
      </c>
      <c r="H40" s="57">
        <v>100000</v>
      </c>
      <c r="I40" s="40">
        <v>1</v>
      </c>
      <c r="J40" s="57">
        <v>100000</v>
      </c>
    </row>
    <row r="41" spans="1:10" s="43" customFormat="1" ht="112.5">
      <c r="A41" s="272"/>
      <c r="B41" s="272"/>
      <c r="C41" s="272"/>
      <c r="D41" s="284"/>
      <c r="E41" s="62" t="s">
        <v>447</v>
      </c>
      <c r="F41" s="42" t="s">
        <v>68</v>
      </c>
      <c r="G41" s="57">
        <v>140000</v>
      </c>
      <c r="H41" s="57">
        <v>140000</v>
      </c>
      <c r="I41" s="40">
        <v>1</v>
      </c>
      <c r="J41" s="57">
        <v>140000</v>
      </c>
    </row>
    <row r="42" spans="1:10" s="43" customFormat="1" ht="152.25">
      <c r="A42" s="272"/>
      <c r="B42" s="272"/>
      <c r="C42" s="272"/>
      <c r="D42" s="284"/>
      <c r="E42" s="62" t="s">
        <v>367</v>
      </c>
      <c r="F42" s="42" t="s">
        <v>68</v>
      </c>
      <c r="G42" s="57">
        <v>395000</v>
      </c>
      <c r="H42" s="57">
        <v>395000</v>
      </c>
      <c r="I42" s="40">
        <v>1</v>
      </c>
      <c r="J42" s="57"/>
    </row>
    <row r="43" spans="1:10" s="43" customFormat="1" ht="133.5">
      <c r="A43" s="272"/>
      <c r="B43" s="272"/>
      <c r="C43" s="272"/>
      <c r="D43" s="284"/>
      <c r="E43" s="62" t="s">
        <v>368</v>
      </c>
      <c r="F43" s="42" t="s">
        <v>68</v>
      </c>
      <c r="G43" s="57">
        <v>290000</v>
      </c>
      <c r="H43" s="57">
        <v>290000</v>
      </c>
      <c r="I43" s="40">
        <v>1</v>
      </c>
      <c r="J43" s="57"/>
    </row>
    <row r="44" spans="1:10" s="43" customFormat="1" ht="56.25">
      <c r="A44" s="272"/>
      <c r="B44" s="272"/>
      <c r="C44" s="272"/>
      <c r="D44" s="284"/>
      <c r="E44" s="62" t="s">
        <v>84</v>
      </c>
      <c r="F44" s="42" t="s">
        <v>68</v>
      </c>
      <c r="G44" s="57">
        <v>154987.51</v>
      </c>
      <c r="H44" s="57">
        <v>154987.51</v>
      </c>
      <c r="I44" s="40">
        <v>1</v>
      </c>
      <c r="J44" s="57">
        <v>154987.51</v>
      </c>
    </row>
    <row r="45" spans="1:10" s="43" customFormat="1" ht="75">
      <c r="A45" s="272"/>
      <c r="B45" s="272"/>
      <c r="C45" s="272"/>
      <c r="D45" s="284"/>
      <c r="E45" s="62" t="s">
        <v>88</v>
      </c>
      <c r="F45" s="42" t="s">
        <v>68</v>
      </c>
      <c r="G45" s="57">
        <v>189927.18</v>
      </c>
      <c r="H45" s="57">
        <v>189927.18</v>
      </c>
      <c r="I45" s="40">
        <v>1</v>
      </c>
      <c r="J45" s="57">
        <v>189927.18</v>
      </c>
    </row>
    <row r="46" spans="1:10" s="43" customFormat="1" ht="75">
      <c r="A46" s="272"/>
      <c r="B46" s="272"/>
      <c r="C46" s="272"/>
      <c r="D46" s="284"/>
      <c r="E46" s="62" t="s">
        <v>400</v>
      </c>
      <c r="F46" s="42" t="s">
        <v>68</v>
      </c>
      <c r="G46" s="57">
        <v>200000</v>
      </c>
      <c r="H46" s="57">
        <v>200000</v>
      </c>
      <c r="I46" s="40">
        <v>1</v>
      </c>
      <c r="J46" s="57">
        <v>200000</v>
      </c>
    </row>
    <row r="47" spans="1:10" s="43" customFormat="1" ht="56.25">
      <c r="A47" s="272"/>
      <c r="B47" s="272"/>
      <c r="C47" s="272"/>
      <c r="D47" s="284"/>
      <c r="E47" s="62" t="s">
        <v>89</v>
      </c>
      <c r="F47" s="42" t="s">
        <v>68</v>
      </c>
      <c r="G47" s="57">
        <v>294404.33</v>
      </c>
      <c r="H47" s="57">
        <v>294404.33</v>
      </c>
      <c r="I47" s="40">
        <v>1</v>
      </c>
      <c r="J47" s="57">
        <v>294404.33</v>
      </c>
    </row>
    <row r="48" spans="1:10" s="43" customFormat="1" ht="152.25">
      <c r="A48" s="272"/>
      <c r="B48" s="272"/>
      <c r="C48" s="272"/>
      <c r="D48" s="284"/>
      <c r="E48" s="62" t="s">
        <v>363</v>
      </c>
      <c r="F48" s="42" t="s">
        <v>68</v>
      </c>
      <c r="G48" s="57">
        <v>50000</v>
      </c>
      <c r="H48" s="57">
        <v>50000</v>
      </c>
      <c r="I48" s="40">
        <v>1</v>
      </c>
      <c r="J48" s="57"/>
    </row>
    <row r="49" spans="1:10" s="43" customFormat="1" ht="152.25">
      <c r="A49" s="272"/>
      <c r="B49" s="272"/>
      <c r="C49" s="272"/>
      <c r="D49" s="284"/>
      <c r="E49" s="62" t="s">
        <v>364</v>
      </c>
      <c r="F49" s="42" t="s">
        <v>68</v>
      </c>
      <c r="G49" s="57">
        <v>190000</v>
      </c>
      <c r="H49" s="57">
        <v>190000</v>
      </c>
      <c r="I49" s="40">
        <v>1</v>
      </c>
      <c r="J49" s="57"/>
    </row>
    <row r="50" spans="1:10" s="43" customFormat="1" ht="43.5" customHeight="1">
      <c r="A50" s="272"/>
      <c r="B50" s="272"/>
      <c r="C50" s="272"/>
      <c r="D50" s="284"/>
      <c r="E50" s="62" t="s">
        <v>398</v>
      </c>
      <c r="F50" s="42" t="s">
        <v>68</v>
      </c>
      <c r="G50" s="57">
        <v>600000</v>
      </c>
      <c r="H50" s="57">
        <v>600000</v>
      </c>
      <c r="I50" s="40">
        <v>1</v>
      </c>
      <c r="J50" s="57">
        <v>600000</v>
      </c>
    </row>
    <row r="51" spans="1:10" s="43" customFormat="1" ht="81" customHeight="1">
      <c r="A51" s="272"/>
      <c r="B51" s="272"/>
      <c r="C51" s="272"/>
      <c r="D51" s="284"/>
      <c r="E51" s="62" t="s">
        <v>83</v>
      </c>
      <c r="F51" s="42" t="s">
        <v>68</v>
      </c>
      <c r="G51" s="57">
        <v>45800</v>
      </c>
      <c r="H51" s="57">
        <v>45800</v>
      </c>
      <c r="I51" s="40">
        <v>1</v>
      </c>
      <c r="J51" s="57">
        <v>45800</v>
      </c>
    </row>
    <row r="52" spans="1:10" s="43" customFormat="1" ht="56.25">
      <c r="A52" s="272"/>
      <c r="B52" s="272"/>
      <c r="C52" s="272"/>
      <c r="D52" s="284"/>
      <c r="E52" s="62" t="s">
        <v>388</v>
      </c>
      <c r="F52" s="42" t="s">
        <v>68</v>
      </c>
      <c r="G52" s="57">
        <f>330000-35000</f>
        <v>295000</v>
      </c>
      <c r="H52" s="57">
        <v>-35000</v>
      </c>
      <c r="I52" s="40"/>
      <c r="J52" s="57">
        <v>-35000</v>
      </c>
    </row>
    <row r="53" spans="1:10" s="43" customFormat="1" ht="171.75">
      <c r="A53" s="272"/>
      <c r="B53" s="272"/>
      <c r="C53" s="272"/>
      <c r="D53" s="284"/>
      <c r="E53" s="62" t="s">
        <v>356</v>
      </c>
      <c r="F53" s="42" t="s">
        <v>68</v>
      </c>
      <c r="G53" s="57">
        <v>270000</v>
      </c>
      <c r="H53" s="57">
        <v>270000</v>
      </c>
      <c r="I53" s="40">
        <v>1</v>
      </c>
      <c r="J53" s="57">
        <v>270000</v>
      </c>
    </row>
    <row r="54" spans="1:10" s="43" customFormat="1" ht="120" customHeight="1">
      <c r="A54" s="272"/>
      <c r="B54" s="272"/>
      <c r="C54" s="272"/>
      <c r="D54" s="284"/>
      <c r="E54" s="62" t="s">
        <v>93</v>
      </c>
      <c r="F54" s="42" t="s">
        <v>68</v>
      </c>
      <c r="G54" s="57">
        <v>8100</v>
      </c>
      <c r="H54" s="57">
        <v>8100</v>
      </c>
      <c r="I54" s="40">
        <v>1</v>
      </c>
      <c r="J54" s="57">
        <v>8100</v>
      </c>
    </row>
    <row r="55" spans="1:10" s="43" customFormat="1" ht="75">
      <c r="A55" s="272"/>
      <c r="B55" s="272"/>
      <c r="C55" s="272"/>
      <c r="D55" s="284"/>
      <c r="E55" s="62" t="s">
        <v>408</v>
      </c>
      <c r="F55" s="42" t="s">
        <v>68</v>
      </c>
      <c r="G55" s="57">
        <v>100000</v>
      </c>
      <c r="H55" s="57">
        <v>100000</v>
      </c>
      <c r="I55" s="40">
        <v>1</v>
      </c>
      <c r="J55" s="57">
        <v>100000</v>
      </c>
    </row>
    <row r="56" spans="1:10" s="43" customFormat="1" ht="153">
      <c r="A56" s="272"/>
      <c r="B56" s="272"/>
      <c r="C56" s="272"/>
      <c r="D56" s="284"/>
      <c r="E56" s="62" t="s">
        <v>365</v>
      </c>
      <c r="F56" s="42" t="s">
        <v>68</v>
      </c>
      <c r="G56" s="57">
        <v>100000</v>
      </c>
      <c r="H56" s="57">
        <v>100000</v>
      </c>
      <c r="I56" s="40">
        <v>1</v>
      </c>
      <c r="J56" s="57"/>
    </row>
    <row r="57" spans="1:10" s="43" customFormat="1" ht="75">
      <c r="A57" s="272"/>
      <c r="B57" s="272"/>
      <c r="C57" s="272"/>
      <c r="D57" s="284"/>
      <c r="E57" s="62" t="s">
        <v>404</v>
      </c>
      <c r="F57" s="42" t="s">
        <v>68</v>
      </c>
      <c r="G57" s="57">
        <v>267000</v>
      </c>
      <c r="H57" s="57">
        <v>267000</v>
      </c>
      <c r="I57" s="40">
        <v>1</v>
      </c>
      <c r="J57" s="57">
        <v>267000</v>
      </c>
    </row>
    <row r="58" spans="1:10" s="43" customFormat="1" ht="137.25" customHeight="1">
      <c r="A58" s="272"/>
      <c r="B58" s="272"/>
      <c r="C58" s="272"/>
      <c r="D58" s="284"/>
      <c r="E58" s="62" t="s">
        <v>355</v>
      </c>
      <c r="F58" s="42" t="s">
        <v>68</v>
      </c>
      <c r="G58" s="57">
        <v>120000</v>
      </c>
      <c r="H58" s="57">
        <v>120000</v>
      </c>
      <c r="I58" s="40">
        <v>1</v>
      </c>
      <c r="J58" s="57">
        <v>120000</v>
      </c>
    </row>
    <row r="59" spans="1:10" s="43" customFormat="1" ht="94.5">
      <c r="A59" s="272"/>
      <c r="B59" s="272"/>
      <c r="C59" s="272"/>
      <c r="D59" s="284"/>
      <c r="E59" s="62" t="s">
        <v>92</v>
      </c>
      <c r="F59" s="42" t="s">
        <v>68</v>
      </c>
      <c r="G59" s="57">
        <v>3600</v>
      </c>
      <c r="H59" s="57">
        <v>3600</v>
      </c>
      <c r="I59" s="40">
        <v>1</v>
      </c>
      <c r="J59" s="57">
        <v>3600</v>
      </c>
    </row>
    <row r="60" spans="1:10" s="43" customFormat="1" ht="75">
      <c r="A60" s="272"/>
      <c r="B60" s="272"/>
      <c r="C60" s="272"/>
      <c r="D60" s="284"/>
      <c r="E60" s="42" t="s">
        <v>405</v>
      </c>
      <c r="F60" s="42" t="s">
        <v>68</v>
      </c>
      <c r="G60" s="57">
        <v>120000</v>
      </c>
      <c r="H60" s="57">
        <v>120000</v>
      </c>
      <c r="I60" s="40">
        <v>1</v>
      </c>
      <c r="J60" s="57">
        <v>120000</v>
      </c>
    </row>
    <row r="61" spans="1:10" s="43" customFormat="1" ht="75">
      <c r="A61" s="272"/>
      <c r="B61" s="272"/>
      <c r="C61" s="272"/>
      <c r="D61" s="284"/>
      <c r="E61" s="42" t="s">
        <v>407</v>
      </c>
      <c r="F61" s="42" t="s">
        <v>68</v>
      </c>
      <c r="G61" s="57">
        <v>120000</v>
      </c>
      <c r="H61" s="57">
        <v>120000</v>
      </c>
      <c r="I61" s="40">
        <v>1</v>
      </c>
      <c r="J61" s="57">
        <v>120000</v>
      </c>
    </row>
    <row r="62" spans="1:10" s="43" customFormat="1" ht="75">
      <c r="A62" s="272"/>
      <c r="B62" s="272"/>
      <c r="C62" s="272"/>
      <c r="D62" s="284"/>
      <c r="E62" s="62" t="s">
        <v>90</v>
      </c>
      <c r="F62" s="42" t="s">
        <v>68</v>
      </c>
      <c r="G62" s="57">
        <v>133923.13</v>
      </c>
      <c r="H62" s="57">
        <v>133923.13</v>
      </c>
      <c r="I62" s="40">
        <v>1</v>
      </c>
      <c r="J62" s="57">
        <v>133923.13</v>
      </c>
    </row>
    <row r="63" spans="1:10" s="43" customFormat="1" ht="75">
      <c r="A63" s="272"/>
      <c r="B63" s="272"/>
      <c r="C63" s="272"/>
      <c r="D63" s="284"/>
      <c r="E63" s="42" t="s">
        <v>406</v>
      </c>
      <c r="F63" s="42" t="s">
        <v>68</v>
      </c>
      <c r="G63" s="57">
        <v>80000</v>
      </c>
      <c r="H63" s="57">
        <v>80000</v>
      </c>
      <c r="I63" s="40">
        <v>1</v>
      </c>
      <c r="J63" s="57">
        <v>80000</v>
      </c>
    </row>
    <row r="64" spans="1:10" s="43" customFormat="1" ht="75">
      <c r="A64" s="272"/>
      <c r="B64" s="272"/>
      <c r="C64" s="272"/>
      <c r="D64" s="284"/>
      <c r="E64" s="42" t="s">
        <v>440</v>
      </c>
      <c r="F64" s="42" t="s">
        <v>68</v>
      </c>
      <c r="G64" s="57">
        <v>120000</v>
      </c>
      <c r="H64" s="57">
        <v>120000</v>
      </c>
      <c r="I64" s="40">
        <v>1</v>
      </c>
      <c r="J64" s="57">
        <v>120000</v>
      </c>
    </row>
    <row r="65" spans="1:10" s="43" customFormat="1" ht="134.25">
      <c r="A65" s="272"/>
      <c r="B65" s="272"/>
      <c r="C65" s="272"/>
      <c r="D65" s="284"/>
      <c r="E65" s="42" t="s">
        <v>439</v>
      </c>
      <c r="F65" s="42" t="s">
        <v>68</v>
      </c>
      <c r="G65" s="57">
        <v>190000</v>
      </c>
      <c r="H65" s="57">
        <v>190000</v>
      </c>
      <c r="I65" s="40">
        <v>1</v>
      </c>
      <c r="J65" s="57">
        <v>190000</v>
      </c>
    </row>
    <row r="66" spans="1:10" s="43" customFormat="1" ht="101.25" customHeight="1">
      <c r="A66" s="272"/>
      <c r="B66" s="272"/>
      <c r="C66" s="272"/>
      <c r="D66" s="284"/>
      <c r="E66" s="62" t="s">
        <v>91</v>
      </c>
      <c r="F66" s="42" t="s">
        <v>68</v>
      </c>
      <c r="G66" s="57">
        <v>5700</v>
      </c>
      <c r="H66" s="57">
        <v>5700</v>
      </c>
      <c r="I66" s="40">
        <v>1</v>
      </c>
      <c r="J66" s="57">
        <v>5700</v>
      </c>
    </row>
    <row r="67" spans="1:10" s="43" customFormat="1" ht="141" customHeight="1">
      <c r="A67" s="272"/>
      <c r="B67" s="272"/>
      <c r="C67" s="272"/>
      <c r="D67" s="284"/>
      <c r="E67" s="62" t="s">
        <v>357</v>
      </c>
      <c r="F67" s="42" t="s">
        <v>68</v>
      </c>
      <c r="G67" s="57">
        <v>80000</v>
      </c>
      <c r="H67" s="57">
        <v>80000</v>
      </c>
      <c r="I67" s="40">
        <v>1</v>
      </c>
      <c r="J67" s="57">
        <v>80000</v>
      </c>
    </row>
    <row r="68" spans="1:10" s="43" customFormat="1" ht="56.25">
      <c r="A68" s="272"/>
      <c r="B68" s="272"/>
      <c r="C68" s="272"/>
      <c r="D68" s="284"/>
      <c r="E68" s="62" t="s">
        <v>401</v>
      </c>
      <c r="F68" s="42" t="s">
        <v>68</v>
      </c>
      <c r="G68" s="57">
        <v>260297</v>
      </c>
      <c r="H68" s="57">
        <v>260297</v>
      </c>
      <c r="I68" s="40">
        <v>1</v>
      </c>
      <c r="J68" s="57">
        <v>260297</v>
      </c>
    </row>
    <row r="69" spans="1:10" s="43" customFormat="1" ht="57" customHeight="1">
      <c r="A69" s="272"/>
      <c r="B69" s="272"/>
      <c r="C69" s="272"/>
      <c r="D69" s="284"/>
      <c r="E69" s="62" t="s">
        <v>438</v>
      </c>
      <c r="F69" s="42" t="s">
        <v>68</v>
      </c>
      <c r="G69" s="57">
        <v>350000</v>
      </c>
      <c r="H69" s="57">
        <v>350000</v>
      </c>
      <c r="I69" s="40">
        <v>1</v>
      </c>
      <c r="J69" s="57">
        <v>350000</v>
      </c>
    </row>
    <row r="70" spans="1:10" s="43" customFormat="1" ht="93.75">
      <c r="A70" s="272"/>
      <c r="B70" s="272"/>
      <c r="C70" s="272"/>
      <c r="D70" s="284"/>
      <c r="E70" s="62" t="s">
        <v>402</v>
      </c>
      <c r="F70" s="42" t="s">
        <v>68</v>
      </c>
      <c r="G70" s="57">
        <v>100000</v>
      </c>
      <c r="H70" s="57">
        <v>100000</v>
      </c>
      <c r="I70" s="40">
        <v>1</v>
      </c>
      <c r="J70" s="57">
        <v>100000</v>
      </c>
    </row>
    <row r="71" spans="1:10" s="43" customFormat="1" ht="152.25">
      <c r="A71" s="272"/>
      <c r="B71" s="272"/>
      <c r="C71" s="272"/>
      <c r="D71" s="284"/>
      <c r="E71" s="62" t="s">
        <v>366</v>
      </c>
      <c r="F71" s="42" t="s">
        <v>68</v>
      </c>
      <c r="G71" s="57">
        <v>100000</v>
      </c>
      <c r="H71" s="57">
        <v>100000</v>
      </c>
      <c r="I71" s="40">
        <v>1</v>
      </c>
      <c r="J71" s="57"/>
    </row>
    <row r="72" spans="1:10" s="43" customFormat="1" ht="93.75">
      <c r="A72" s="273"/>
      <c r="B72" s="273"/>
      <c r="C72" s="273"/>
      <c r="D72" s="285"/>
      <c r="E72" s="42" t="s">
        <v>94</v>
      </c>
      <c r="F72" s="42" t="s">
        <v>68</v>
      </c>
      <c r="G72" s="57">
        <v>1000100</v>
      </c>
      <c r="H72" s="57">
        <v>1000100</v>
      </c>
      <c r="I72" s="40">
        <v>1</v>
      </c>
      <c r="J72" s="57">
        <f>1000100-50</f>
        <v>1000050</v>
      </c>
    </row>
    <row r="73" spans="1:10" s="43" customFormat="1">
      <c r="A73" s="271" t="s">
        <v>40</v>
      </c>
      <c r="B73" s="271" t="s">
        <v>39</v>
      </c>
      <c r="C73" s="271" t="s">
        <v>8</v>
      </c>
      <c r="D73" s="283" t="s">
        <v>41</v>
      </c>
      <c r="E73" s="129" t="s">
        <v>55</v>
      </c>
      <c r="F73" s="27"/>
      <c r="G73" s="55">
        <f>G74</f>
        <v>5629200</v>
      </c>
      <c r="H73" s="55">
        <f t="shared" ref="H73:J73" si="5">H74</f>
        <v>5629200</v>
      </c>
      <c r="I73" s="55"/>
      <c r="J73" s="55">
        <f t="shared" si="5"/>
        <v>5629200</v>
      </c>
    </row>
    <row r="74" spans="1:10" ht="37.5">
      <c r="A74" s="272"/>
      <c r="B74" s="272"/>
      <c r="C74" s="272"/>
      <c r="D74" s="284"/>
      <c r="E74" s="92" t="s">
        <v>204</v>
      </c>
      <c r="F74" s="92"/>
      <c r="G74" s="81">
        <f>G75+G76+G77+G78+G79</f>
        <v>5629200</v>
      </c>
      <c r="H74" s="81">
        <f t="shared" ref="H74:J74" si="6">H75+H76+H77+H78+H79</f>
        <v>5629200</v>
      </c>
      <c r="I74" s="81"/>
      <c r="J74" s="81">
        <f t="shared" si="6"/>
        <v>5629200</v>
      </c>
    </row>
    <row r="75" spans="1:10" ht="94.5">
      <c r="A75" s="272"/>
      <c r="B75" s="272"/>
      <c r="C75" s="272"/>
      <c r="D75" s="284"/>
      <c r="E75" s="93" t="s">
        <v>205</v>
      </c>
      <c r="F75" s="42"/>
      <c r="G75" s="88">
        <v>425000</v>
      </c>
      <c r="H75" s="88">
        <v>425000</v>
      </c>
      <c r="I75" s="40">
        <v>1</v>
      </c>
      <c r="J75" s="88">
        <v>425000</v>
      </c>
    </row>
    <row r="76" spans="1:10" ht="94.5">
      <c r="A76" s="272"/>
      <c r="B76" s="272"/>
      <c r="C76" s="272"/>
      <c r="D76" s="284"/>
      <c r="E76" s="93" t="s">
        <v>206</v>
      </c>
      <c r="F76" s="42"/>
      <c r="G76" s="88">
        <v>1500000</v>
      </c>
      <c r="H76" s="88">
        <v>1500000</v>
      </c>
      <c r="I76" s="40">
        <v>1</v>
      </c>
      <c r="J76" s="88">
        <v>1500000</v>
      </c>
    </row>
    <row r="77" spans="1:10" ht="94.5">
      <c r="A77" s="272"/>
      <c r="B77" s="272"/>
      <c r="C77" s="272"/>
      <c r="D77" s="284"/>
      <c r="E77" s="93" t="s">
        <v>207</v>
      </c>
      <c r="F77" s="42"/>
      <c r="G77" s="88">
        <v>750000</v>
      </c>
      <c r="H77" s="88">
        <v>750000</v>
      </c>
      <c r="I77" s="40">
        <v>1</v>
      </c>
      <c r="J77" s="88">
        <v>750000</v>
      </c>
    </row>
    <row r="78" spans="1:10" ht="94.5">
      <c r="A78" s="272"/>
      <c r="B78" s="272"/>
      <c r="C78" s="272"/>
      <c r="D78" s="284"/>
      <c r="E78" s="93" t="s">
        <v>208</v>
      </c>
      <c r="F78" s="42"/>
      <c r="G78" s="88">
        <v>825000</v>
      </c>
      <c r="H78" s="88">
        <v>825000</v>
      </c>
      <c r="I78" s="40">
        <v>1</v>
      </c>
      <c r="J78" s="88">
        <v>825000</v>
      </c>
    </row>
    <row r="79" spans="1:10" ht="37.5">
      <c r="A79" s="273"/>
      <c r="B79" s="273"/>
      <c r="C79" s="273"/>
      <c r="D79" s="285"/>
      <c r="E79" s="94" t="s">
        <v>431</v>
      </c>
      <c r="F79" s="94"/>
      <c r="G79" s="57">
        <v>2129200</v>
      </c>
      <c r="H79" s="57">
        <v>2129200</v>
      </c>
      <c r="I79" s="40">
        <v>1</v>
      </c>
      <c r="J79" s="57">
        <v>2129200</v>
      </c>
    </row>
    <row r="80" spans="1:10" ht="56.25">
      <c r="A80" s="66" t="s">
        <v>215</v>
      </c>
      <c r="B80" s="66" t="s">
        <v>216</v>
      </c>
      <c r="C80" s="66" t="s">
        <v>8</v>
      </c>
      <c r="D80" s="134" t="s">
        <v>217</v>
      </c>
      <c r="E80" s="92" t="s">
        <v>435</v>
      </c>
      <c r="F80" s="22" t="s">
        <v>68</v>
      </c>
      <c r="G80" s="82">
        <v>180000</v>
      </c>
      <c r="H80" s="82">
        <v>180000</v>
      </c>
      <c r="I80" s="34">
        <v>1</v>
      </c>
      <c r="J80" s="82">
        <v>180000</v>
      </c>
    </row>
    <row r="81" spans="1:10" ht="56.25">
      <c r="A81" s="30" t="s">
        <v>58</v>
      </c>
      <c r="B81" s="30" t="s">
        <v>57</v>
      </c>
      <c r="C81" s="30" t="s">
        <v>8</v>
      </c>
      <c r="D81" s="12" t="s">
        <v>56</v>
      </c>
      <c r="E81" s="23" t="s">
        <v>72</v>
      </c>
      <c r="F81" s="23" t="s">
        <v>68</v>
      </c>
      <c r="G81" s="53">
        <v>150000</v>
      </c>
      <c r="H81" s="53">
        <v>150000</v>
      </c>
      <c r="I81" s="34">
        <v>1</v>
      </c>
      <c r="J81" s="53">
        <v>150000</v>
      </c>
    </row>
    <row r="82" spans="1:10" ht="37.5">
      <c r="A82" s="271" t="s">
        <v>50</v>
      </c>
      <c r="B82" s="271" t="s">
        <v>23</v>
      </c>
      <c r="C82" s="271" t="s">
        <v>8</v>
      </c>
      <c r="D82" s="303" t="s">
        <v>73</v>
      </c>
      <c r="E82" s="304"/>
      <c r="F82" s="67" t="s">
        <v>68</v>
      </c>
      <c r="G82" s="55">
        <f>SUM(G83:G122)</f>
        <v>9516633.1999999993</v>
      </c>
      <c r="H82" s="55">
        <f>SUM(H83:H122)</f>
        <v>9516633.1999999993</v>
      </c>
      <c r="I82" s="55"/>
      <c r="J82" s="55">
        <f>SUM(J83:J122)</f>
        <v>6190468</v>
      </c>
    </row>
    <row r="83" spans="1:10" ht="150">
      <c r="A83" s="272"/>
      <c r="B83" s="272"/>
      <c r="C83" s="272"/>
      <c r="D83" s="299"/>
      <c r="E83" s="117" t="s">
        <v>358</v>
      </c>
      <c r="F83" s="23" t="s">
        <v>68</v>
      </c>
      <c r="G83" s="53">
        <v>195000</v>
      </c>
      <c r="H83" s="53">
        <v>195000</v>
      </c>
      <c r="I83" s="34">
        <v>1</v>
      </c>
      <c r="J83" s="53">
        <v>195000</v>
      </c>
    </row>
    <row r="84" spans="1:10" ht="150">
      <c r="A84" s="272"/>
      <c r="B84" s="272"/>
      <c r="C84" s="272"/>
      <c r="D84" s="301"/>
      <c r="E84" s="117" t="s">
        <v>359</v>
      </c>
      <c r="F84" s="23" t="s">
        <v>68</v>
      </c>
      <c r="G84" s="53">
        <v>400000</v>
      </c>
      <c r="H84" s="53">
        <v>400000</v>
      </c>
      <c r="I84" s="34">
        <v>1</v>
      </c>
      <c r="J84" s="53">
        <v>400000</v>
      </c>
    </row>
    <row r="85" spans="1:10" ht="75">
      <c r="A85" s="272"/>
      <c r="B85" s="272"/>
      <c r="C85" s="272"/>
      <c r="D85" s="301"/>
      <c r="E85" s="147" t="s">
        <v>414</v>
      </c>
      <c r="F85" s="23" t="s">
        <v>68</v>
      </c>
      <c r="G85" s="60">
        <v>500000</v>
      </c>
      <c r="H85" s="60">
        <v>500000</v>
      </c>
      <c r="I85" s="34">
        <v>1</v>
      </c>
      <c r="J85" s="60">
        <v>500000</v>
      </c>
    </row>
    <row r="86" spans="1:10" ht="150">
      <c r="A86" s="272"/>
      <c r="B86" s="272"/>
      <c r="C86" s="272"/>
      <c r="D86" s="301"/>
      <c r="E86" s="117" t="s">
        <v>360</v>
      </c>
      <c r="F86" s="23" t="s">
        <v>68</v>
      </c>
      <c r="G86" s="53">
        <v>46582</v>
      </c>
      <c r="H86" s="53">
        <v>46582</v>
      </c>
      <c r="I86" s="34">
        <v>1</v>
      </c>
      <c r="J86" s="53">
        <v>0</v>
      </c>
    </row>
    <row r="87" spans="1:10" ht="112.5">
      <c r="A87" s="272"/>
      <c r="B87" s="272"/>
      <c r="C87" s="272"/>
      <c r="D87" s="301"/>
      <c r="E87" s="121" t="s">
        <v>376</v>
      </c>
      <c r="F87" s="23" t="s">
        <v>68</v>
      </c>
      <c r="G87" s="122">
        <v>116452</v>
      </c>
      <c r="H87" s="149">
        <v>116452</v>
      </c>
      <c r="I87" s="34"/>
      <c r="J87" s="53"/>
    </row>
    <row r="88" spans="1:10" ht="93.75">
      <c r="A88" s="272"/>
      <c r="B88" s="272"/>
      <c r="C88" s="272"/>
      <c r="D88" s="301"/>
      <c r="E88" s="147" t="s">
        <v>415</v>
      </c>
      <c r="F88" s="23" t="s">
        <v>68</v>
      </c>
      <c r="G88" s="60">
        <v>200000</v>
      </c>
      <c r="H88" s="60">
        <v>200000</v>
      </c>
      <c r="I88" s="34">
        <v>1</v>
      </c>
      <c r="J88" s="60">
        <v>200000</v>
      </c>
    </row>
    <row r="89" spans="1:10" ht="112.5">
      <c r="A89" s="272"/>
      <c r="B89" s="272"/>
      <c r="C89" s="272"/>
      <c r="D89" s="301"/>
      <c r="E89" s="117" t="s">
        <v>361</v>
      </c>
      <c r="F89" s="23" t="s">
        <v>68</v>
      </c>
      <c r="G89" s="53">
        <v>428079.2</v>
      </c>
      <c r="H89" s="53">
        <v>428079.2</v>
      </c>
      <c r="I89" s="34">
        <v>1</v>
      </c>
      <c r="J89" s="53">
        <v>0</v>
      </c>
    </row>
    <row r="90" spans="1:10" ht="56.25">
      <c r="A90" s="272"/>
      <c r="B90" s="272"/>
      <c r="C90" s="272"/>
      <c r="D90" s="301"/>
      <c r="E90" s="147" t="s">
        <v>78</v>
      </c>
      <c r="F90" s="23" t="s">
        <v>68</v>
      </c>
      <c r="G90" s="53">
        <v>-200000</v>
      </c>
      <c r="H90" s="53">
        <v>-200000</v>
      </c>
      <c r="I90" s="34"/>
      <c r="J90" s="53">
        <v>-200000</v>
      </c>
    </row>
    <row r="91" spans="1:10" ht="56.25">
      <c r="A91" s="272"/>
      <c r="B91" s="272"/>
      <c r="C91" s="272"/>
      <c r="D91" s="301"/>
      <c r="E91" s="65" t="s">
        <v>124</v>
      </c>
      <c r="F91" s="23" t="s">
        <v>68</v>
      </c>
      <c r="G91" s="53">
        <v>200000</v>
      </c>
      <c r="H91" s="53">
        <v>200000</v>
      </c>
      <c r="I91" s="34">
        <v>1</v>
      </c>
      <c r="J91" s="53">
        <v>200000</v>
      </c>
    </row>
    <row r="92" spans="1:10" ht="37.5">
      <c r="A92" s="272"/>
      <c r="B92" s="272"/>
      <c r="C92" s="272"/>
      <c r="D92" s="301"/>
      <c r="E92" s="147" t="s">
        <v>96</v>
      </c>
      <c r="F92" s="23" t="s">
        <v>68</v>
      </c>
      <c r="G92" s="53">
        <v>350000</v>
      </c>
      <c r="H92" s="53">
        <v>350000</v>
      </c>
      <c r="I92" s="34">
        <v>1</v>
      </c>
      <c r="J92" s="53">
        <v>350000</v>
      </c>
    </row>
    <row r="93" spans="1:10" ht="56.25">
      <c r="A93" s="272"/>
      <c r="B93" s="272"/>
      <c r="C93" s="272"/>
      <c r="D93" s="301"/>
      <c r="E93" s="147" t="s">
        <v>409</v>
      </c>
      <c r="F93" s="23" t="s">
        <v>68</v>
      </c>
      <c r="G93" s="60">
        <v>250000</v>
      </c>
      <c r="H93" s="60">
        <v>250000</v>
      </c>
      <c r="I93" s="34">
        <v>1</v>
      </c>
      <c r="J93" s="60">
        <v>250000</v>
      </c>
    </row>
    <row r="94" spans="1:10" ht="93.75">
      <c r="A94" s="272"/>
      <c r="B94" s="272"/>
      <c r="C94" s="272"/>
      <c r="D94" s="301"/>
      <c r="E94" s="147" t="s">
        <v>441</v>
      </c>
      <c r="F94" s="23" t="s">
        <v>68</v>
      </c>
      <c r="G94" s="60">
        <v>160000</v>
      </c>
      <c r="H94" s="60">
        <v>160000</v>
      </c>
      <c r="I94" s="34">
        <v>1</v>
      </c>
      <c r="J94" s="60">
        <v>160000</v>
      </c>
    </row>
    <row r="95" spans="1:10" ht="56.25">
      <c r="A95" s="272"/>
      <c r="B95" s="272"/>
      <c r="C95" s="272"/>
      <c r="D95" s="301"/>
      <c r="E95" s="147" t="s">
        <v>416</v>
      </c>
      <c r="F95" s="23" t="s">
        <v>68</v>
      </c>
      <c r="G95" s="60">
        <v>180000</v>
      </c>
      <c r="H95" s="60">
        <v>180000</v>
      </c>
      <c r="I95" s="34">
        <v>1</v>
      </c>
      <c r="J95" s="60">
        <v>180000</v>
      </c>
    </row>
    <row r="96" spans="1:10" ht="187.5">
      <c r="A96" s="272"/>
      <c r="B96" s="272"/>
      <c r="C96" s="272"/>
      <c r="D96" s="301"/>
      <c r="E96" s="121" t="s">
        <v>369</v>
      </c>
      <c r="F96" s="23" t="s">
        <v>68</v>
      </c>
      <c r="G96" s="122">
        <v>99000</v>
      </c>
      <c r="H96" s="149">
        <v>99000</v>
      </c>
      <c r="I96" s="34"/>
      <c r="J96" s="53"/>
    </row>
    <row r="97" spans="1:10" ht="56.25">
      <c r="A97" s="272"/>
      <c r="B97" s="272"/>
      <c r="C97" s="272"/>
      <c r="D97" s="301"/>
      <c r="E97" s="147" t="s">
        <v>122</v>
      </c>
      <c r="F97" s="23" t="s">
        <v>68</v>
      </c>
      <c r="G97" s="53">
        <v>-200000</v>
      </c>
      <c r="H97" s="53">
        <v>-200000</v>
      </c>
      <c r="I97" s="34"/>
      <c r="J97" s="53">
        <v>-200000</v>
      </c>
    </row>
    <row r="98" spans="1:10" ht="75">
      <c r="A98" s="272"/>
      <c r="B98" s="272"/>
      <c r="C98" s="272"/>
      <c r="D98" s="301"/>
      <c r="E98" s="147" t="s">
        <v>123</v>
      </c>
      <c r="F98" s="23" t="s">
        <v>68</v>
      </c>
      <c r="G98" s="53">
        <v>200000</v>
      </c>
      <c r="H98" s="53">
        <v>200000</v>
      </c>
      <c r="I98" s="34">
        <v>1</v>
      </c>
      <c r="J98" s="53">
        <v>200000</v>
      </c>
    </row>
    <row r="99" spans="1:10" ht="75">
      <c r="A99" s="272"/>
      <c r="B99" s="272"/>
      <c r="C99" s="272"/>
      <c r="D99" s="301"/>
      <c r="E99" s="147" t="s">
        <v>411</v>
      </c>
      <c r="F99" s="23" t="s">
        <v>68</v>
      </c>
      <c r="G99" s="60">
        <v>300000</v>
      </c>
      <c r="H99" s="60">
        <v>300000</v>
      </c>
      <c r="I99" s="34">
        <v>1</v>
      </c>
      <c r="J99" s="60">
        <v>300000</v>
      </c>
    </row>
    <row r="100" spans="1:10" ht="56.25">
      <c r="A100" s="272"/>
      <c r="B100" s="272"/>
      <c r="C100" s="272"/>
      <c r="D100" s="301"/>
      <c r="E100" s="147" t="s">
        <v>412</v>
      </c>
      <c r="F100" s="23" t="s">
        <v>68</v>
      </c>
      <c r="G100" s="60">
        <v>350000</v>
      </c>
      <c r="H100" s="60">
        <v>350000</v>
      </c>
      <c r="I100" s="34">
        <v>1</v>
      </c>
      <c r="J100" s="60">
        <v>350000</v>
      </c>
    </row>
    <row r="101" spans="1:10" ht="112.5">
      <c r="A101" s="272"/>
      <c r="B101" s="272"/>
      <c r="C101" s="272"/>
      <c r="D101" s="301"/>
      <c r="E101" s="65" t="s">
        <v>125</v>
      </c>
      <c r="F101" s="23" t="s">
        <v>68</v>
      </c>
      <c r="G101" s="53">
        <v>277000</v>
      </c>
      <c r="H101" s="53">
        <v>277000</v>
      </c>
      <c r="I101" s="34">
        <v>1</v>
      </c>
      <c r="J101" s="53">
        <v>277000</v>
      </c>
    </row>
    <row r="102" spans="1:10" ht="93.75">
      <c r="A102" s="272"/>
      <c r="B102" s="272"/>
      <c r="C102" s="272"/>
      <c r="D102" s="301"/>
      <c r="E102" s="64" t="s">
        <v>98</v>
      </c>
      <c r="F102" s="23" t="s">
        <v>68</v>
      </c>
      <c r="G102" s="53">
        <v>450000</v>
      </c>
      <c r="H102" s="53">
        <v>450000</v>
      </c>
      <c r="I102" s="34">
        <v>1</v>
      </c>
      <c r="J102" s="53">
        <v>450000</v>
      </c>
    </row>
    <row r="103" spans="1:10" ht="56.25">
      <c r="A103" s="272"/>
      <c r="B103" s="272"/>
      <c r="C103" s="272"/>
      <c r="D103" s="301"/>
      <c r="E103" s="64" t="s">
        <v>443</v>
      </c>
      <c r="F103" s="23" t="s">
        <v>68</v>
      </c>
      <c r="G103" s="53">
        <v>150000</v>
      </c>
      <c r="H103" s="53">
        <v>150000</v>
      </c>
      <c r="I103" s="34">
        <v>1</v>
      </c>
      <c r="J103" s="53">
        <v>150000</v>
      </c>
    </row>
    <row r="104" spans="1:10" ht="93.75">
      <c r="A104" s="272"/>
      <c r="B104" s="272"/>
      <c r="C104" s="272"/>
      <c r="D104" s="301"/>
      <c r="E104" s="73" t="s">
        <v>95</v>
      </c>
      <c r="F104" s="23" t="s">
        <v>68</v>
      </c>
      <c r="G104" s="53">
        <v>500000</v>
      </c>
      <c r="H104" s="53">
        <v>500000</v>
      </c>
      <c r="I104" s="34">
        <v>1</v>
      </c>
      <c r="J104" s="53">
        <v>500000</v>
      </c>
    </row>
    <row r="105" spans="1:10" ht="112.5">
      <c r="A105" s="272"/>
      <c r="B105" s="272"/>
      <c r="C105" s="272"/>
      <c r="D105" s="301"/>
      <c r="E105" s="121" t="s">
        <v>371</v>
      </c>
      <c r="F105" s="23" t="s">
        <v>68</v>
      </c>
      <c r="G105" s="122">
        <v>100000</v>
      </c>
      <c r="H105" s="149">
        <v>100000</v>
      </c>
      <c r="I105" s="34"/>
      <c r="J105" s="53"/>
    </row>
    <row r="106" spans="1:10" ht="112.5">
      <c r="A106" s="272"/>
      <c r="B106" s="272"/>
      <c r="C106" s="272"/>
      <c r="D106" s="301"/>
      <c r="E106" s="121" t="s">
        <v>372</v>
      </c>
      <c r="F106" s="23" t="s">
        <v>68</v>
      </c>
      <c r="G106" s="122">
        <v>80000</v>
      </c>
      <c r="H106" s="149">
        <v>80000</v>
      </c>
      <c r="I106" s="34"/>
      <c r="J106" s="53"/>
    </row>
    <row r="107" spans="1:10" ht="56.25">
      <c r="A107" s="272"/>
      <c r="B107" s="272"/>
      <c r="C107" s="272"/>
      <c r="D107" s="301"/>
      <c r="E107" s="147" t="s">
        <v>442</v>
      </c>
      <c r="F107" s="23" t="s">
        <v>68</v>
      </c>
      <c r="G107" s="60">
        <v>200000</v>
      </c>
      <c r="H107" s="60">
        <v>200000</v>
      </c>
      <c r="I107" s="34">
        <v>1</v>
      </c>
      <c r="J107" s="60">
        <v>200000</v>
      </c>
    </row>
    <row r="108" spans="1:10" ht="112.5">
      <c r="A108" s="272"/>
      <c r="B108" s="272"/>
      <c r="C108" s="272"/>
      <c r="D108" s="301"/>
      <c r="E108" s="121" t="s">
        <v>375</v>
      </c>
      <c r="F108" s="23" t="s">
        <v>68</v>
      </c>
      <c r="G108" s="122">
        <v>112581</v>
      </c>
      <c r="H108" s="149">
        <v>112581</v>
      </c>
      <c r="I108" s="34"/>
      <c r="J108" s="53"/>
    </row>
    <row r="109" spans="1:10" ht="131.25">
      <c r="A109" s="272"/>
      <c r="B109" s="272"/>
      <c r="C109" s="272"/>
      <c r="D109" s="301"/>
      <c r="E109" s="148" t="s">
        <v>377</v>
      </c>
      <c r="F109" s="23" t="s">
        <v>68</v>
      </c>
      <c r="G109" s="149">
        <v>320000</v>
      </c>
      <c r="H109" s="149">
        <v>320000</v>
      </c>
      <c r="I109" s="34"/>
      <c r="J109" s="53"/>
    </row>
    <row r="110" spans="1:10" ht="56.25">
      <c r="A110" s="272"/>
      <c r="B110" s="272"/>
      <c r="C110" s="272"/>
      <c r="D110" s="301"/>
      <c r="E110" s="147" t="s">
        <v>417</v>
      </c>
      <c r="F110" s="23" t="s">
        <v>68</v>
      </c>
      <c r="G110" s="60">
        <v>100000</v>
      </c>
      <c r="H110" s="60">
        <v>100000</v>
      </c>
      <c r="I110" s="34">
        <v>1</v>
      </c>
      <c r="J110" s="60">
        <v>100000</v>
      </c>
    </row>
    <row r="111" spans="1:10" ht="131.25">
      <c r="A111" s="272"/>
      <c r="B111" s="272"/>
      <c r="C111" s="272"/>
      <c r="D111" s="301"/>
      <c r="E111" s="148" t="s">
        <v>378</v>
      </c>
      <c r="F111" s="23" t="s">
        <v>68</v>
      </c>
      <c r="G111" s="149">
        <v>320000</v>
      </c>
      <c r="H111" s="149">
        <v>320000</v>
      </c>
      <c r="I111" s="34"/>
      <c r="J111" s="53"/>
    </row>
    <row r="112" spans="1:10" ht="112.5">
      <c r="A112" s="272"/>
      <c r="B112" s="272"/>
      <c r="C112" s="272"/>
      <c r="D112" s="301"/>
      <c r="E112" s="148" t="s">
        <v>374</v>
      </c>
      <c r="F112" s="23" t="s">
        <v>68</v>
      </c>
      <c r="G112" s="149">
        <v>113471</v>
      </c>
      <c r="H112" s="149">
        <v>113471</v>
      </c>
      <c r="I112" s="34"/>
      <c r="J112" s="53"/>
    </row>
    <row r="113" spans="1:10" ht="93.75">
      <c r="A113" s="272"/>
      <c r="B113" s="272"/>
      <c r="C113" s="272"/>
      <c r="D113" s="301"/>
      <c r="E113" s="147" t="s">
        <v>410</v>
      </c>
      <c r="F113" s="23" t="s">
        <v>68</v>
      </c>
      <c r="G113" s="60">
        <v>150000</v>
      </c>
      <c r="H113" s="60">
        <v>150000</v>
      </c>
      <c r="I113" s="34">
        <v>1</v>
      </c>
      <c r="J113" s="60">
        <v>150000</v>
      </c>
    </row>
    <row r="114" spans="1:10" ht="168.75">
      <c r="A114" s="272"/>
      <c r="B114" s="272"/>
      <c r="C114" s="272"/>
      <c r="D114" s="301"/>
      <c r="E114" s="121" t="s">
        <v>373</v>
      </c>
      <c r="F114" s="23" t="s">
        <v>68</v>
      </c>
      <c r="G114" s="122">
        <v>1490000</v>
      </c>
      <c r="H114" s="149">
        <v>1490000</v>
      </c>
      <c r="I114" s="34"/>
      <c r="J114" s="53"/>
    </row>
    <row r="115" spans="1:10" ht="37.5">
      <c r="A115" s="272"/>
      <c r="B115" s="272"/>
      <c r="C115" s="272"/>
      <c r="D115" s="301"/>
      <c r="E115" s="147" t="s">
        <v>97</v>
      </c>
      <c r="F115" s="23" t="s">
        <v>68</v>
      </c>
      <c r="G115" s="53">
        <v>300000</v>
      </c>
      <c r="H115" s="53">
        <v>300000</v>
      </c>
      <c r="I115" s="34">
        <v>1</v>
      </c>
      <c r="J115" s="53">
        <v>300000</v>
      </c>
    </row>
    <row r="116" spans="1:10" ht="93.75">
      <c r="A116" s="272"/>
      <c r="B116" s="272"/>
      <c r="C116" s="272"/>
      <c r="D116" s="301"/>
      <c r="E116" s="147" t="s">
        <v>413</v>
      </c>
      <c r="F116" s="23" t="s">
        <v>68</v>
      </c>
      <c r="G116" s="60">
        <v>140000</v>
      </c>
      <c r="H116" s="60">
        <v>140000</v>
      </c>
      <c r="I116" s="34">
        <v>1</v>
      </c>
      <c r="J116" s="60">
        <v>140000</v>
      </c>
    </row>
    <row r="117" spans="1:10" ht="150">
      <c r="A117" s="272"/>
      <c r="B117" s="272"/>
      <c r="C117" s="272"/>
      <c r="D117" s="301"/>
      <c r="E117" s="121" t="s">
        <v>370</v>
      </c>
      <c r="F117" s="23" t="s">
        <v>68</v>
      </c>
      <c r="G117" s="122">
        <v>100000</v>
      </c>
      <c r="H117" s="149">
        <v>100000</v>
      </c>
      <c r="I117" s="34"/>
      <c r="J117" s="53"/>
    </row>
    <row r="118" spans="1:10" ht="37.5">
      <c r="A118" s="272"/>
      <c r="B118" s="272"/>
      <c r="C118" s="272"/>
      <c r="D118" s="301"/>
      <c r="E118" s="64" t="s">
        <v>99</v>
      </c>
      <c r="F118" s="23" t="s">
        <v>68</v>
      </c>
      <c r="G118" s="53">
        <v>18468</v>
      </c>
      <c r="H118" s="53">
        <v>18468</v>
      </c>
      <c r="I118" s="34">
        <v>1</v>
      </c>
      <c r="J118" s="53">
        <v>18468</v>
      </c>
    </row>
    <row r="119" spans="1:10" ht="37.5">
      <c r="A119" s="272"/>
      <c r="B119" s="272"/>
      <c r="C119" s="272"/>
      <c r="D119" s="301"/>
      <c r="E119" s="65" t="s">
        <v>100</v>
      </c>
      <c r="F119" s="23" t="s">
        <v>68</v>
      </c>
      <c r="G119" s="53">
        <f>200000+220000</f>
        <v>420000</v>
      </c>
      <c r="H119" s="53">
        <f>200000+220000</f>
        <v>420000</v>
      </c>
      <c r="I119" s="34">
        <v>1</v>
      </c>
      <c r="J119" s="53">
        <f>200000+220000</f>
        <v>420000</v>
      </c>
    </row>
    <row r="120" spans="1:10" ht="75">
      <c r="A120" s="272"/>
      <c r="B120" s="272"/>
      <c r="C120" s="272"/>
      <c r="D120" s="119"/>
      <c r="E120" s="65" t="s">
        <v>387</v>
      </c>
      <c r="F120" s="23" t="s">
        <v>68</v>
      </c>
      <c r="G120" s="53">
        <v>500000</v>
      </c>
      <c r="H120" s="53">
        <v>500000</v>
      </c>
      <c r="I120" s="34"/>
      <c r="J120" s="53">
        <v>500000</v>
      </c>
    </row>
    <row r="121" spans="1:10">
      <c r="A121" s="272"/>
      <c r="B121" s="272"/>
      <c r="C121" s="272"/>
      <c r="D121" s="119"/>
      <c r="E121" s="65" t="s">
        <v>237</v>
      </c>
      <c r="F121" s="23"/>
      <c r="G121" s="53">
        <v>-400000</v>
      </c>
      <c r="H121" s="53">
        <v>-400000</v>
      </c>
      <c r="I121" s="34"/>
      <c r="J121" s="53">
        <v>-400000</v>
      </c>
    </row>
    <row r="122" spans="1:10" ht="66.75" customHeight="1">
      <c r="A122" s="273"/>
      <c r="B122" s="273"/>
      <c r="C122" s="273"/>
      <c r="D122" s="133"/>
      <c r="E122" s="134" t="s">
        <v>433</v>
      </c>
      <c r="F122" s="22" t="s">
        <v>68</v>
      </c>
      <c r="G122" s="82">
        <v>500000</v>
      </c>
      <c r="H122" s="82">
        <v>500000</v>
      </c>
      <c r="I122" s="103"/>
      <c r="J122" s="82">
        <v>500000</v>
      </c>
    </row>
    <row r="123" spans="1:10" ht="37.5" customHeight="1">
      <c r="A123" s="66" t="s">
        <v>101</v>
      </c>
      <c r="B123" s="66" t="s">
        <v>32</v>
      </c>
      <c r="C123" s="66" t="s">
        <v>33</v>
      </c>
      <c r="D123" s="298" t="s">
        <v>34</v>
      </c>
      <c r="E123" s="298"/>
      <c r="F123" s="23" t="s">
        <v>68</v>
      </c>
      <c r="G123" s="53">
        <v>100140</v>
      </c>
      <c r="H123" s="53">
        <v>100140</v>
      </c>
      <c r="I123" s="34">
        <v>1</v>
      </c>
      <c r="J123" s="53">
        <v>100140</v>
      </c>
    </row>
    <row r="124" spans="1:10">
      <c r="A124" s="271" t="s">
        <v>53</v>
      </c>
      <c r="B124" s="286" t="s">
        <v>52</v>
      </c>
      <c r="C124" s="286" t="s">
        <v>10</v>
      </c>
      <c r="D124" s="283" t="s">
        <v>35</v>
      </c>
      <c r="E124" s="38" t="s">
        <v>55</v>
      </c>
      <c r="F124" s="38"/>
      <c r="G124" s="58">
        <f>G125+G126+G128</f>
        <v>1000220</v>
      </c>
      <c r="H124" s="58">
        <f>H125+H126+H127+H128</f>
        <v>1009056.6</v>
      </c>
      <c r="I124" s="58"/>
      <c r="J124" s="58">
        <f t="shared" ref="J124" si="7">J125+J126+J127+J128</f>
        <v>1009056.6</v>
      </c>
    </row>
    <row r="125" spans="1:10" ht="97.5" customHeight="1">
      <c r="A125" s="272"/>
      <c r="B125" s="287"/>
      <c r="C125" s="287"/>
      <c r="D125" s="284"/>
      <c r="E125" s="64" t="s">
        <v>102</v>
      </c>
      <c r="F125" s="50" t="s">
        <v>68</v>
      </c>
      <c r="G125" s="49">
        <v>190000</v>
      </c>
      <c r="H125" s="49">
        <v>190000</v>
      </c>
      <c r="I125" s="35">
        <v>1</v>
      </c>
      <c r="J125" s="49">
        <v>190000</v>
      </c>
    </row>
    <row r="126" spans="1:10" ht="56.25">
      <c r="A126" s="272"/>
      <c r="B126" s="287"/>
      <c r="C126" s="287"/>
      <c r="D126" s="284"/>
      <c r="E126" s="64" t="s">
        <v>103</v>
      </c>
      <c r="F126" s="50" t="s">
        <v>68</v>
      </c>
      <c r="G126" s="49">
        <v>785000</v>
      </c>
      <c r="H126" s="49">
        <v>785000</v>
      </c>
      <c r="I126" s="35">
        <v>1</v>
      </c>
      <c r="J126" s="49">
        <v>785000</v>
      </c>
    </row>
    <row r="127" spans="1:10" ht="75">
      <c r="A127" s="272"/>
      <c r="B127" s="287"/>
      <c r="C127" s="287"/>
      <c r="D127" s="284"/>
      <c r="E127" s="64" t="s">
        <v>430</v>
      </c>
      <c r="F127" s="135" t="s">
        <v>68</v>
      </c>
      <c r="G127" s="49"/>
      <c r="H127" s="49">
        <v>8836.6</v>
      </c>
      <c r="I127" s="35">
        <v>1</v>
      </c>
      <c r="J127" s="49">
        <v>8836.6</v>
      </c>
    </row>
    <row r="128" spans="1:10" ht="56.25">
      <c r="A128" s="273"/>
      <c r="B128" s="288"/>
      <c r="C128" s="288"/>
      <c r="D128" s="285"/>
      <c r="E128" s="64" t="s">
        <v>104</v>
      </c>
      <c r="F128" s="50" t="s">
        <v>68</v>
      </c>
      <c r="G128" s="49">
        <v>25220</v>
      </c>
      <c r="H128" s="49">
        <v>25220</v>
      </c>
      <c r="I128" s="35">
        <v>1</v>
      </c>
      <c r="J128" s="49">
        <v>25220</v>
      </c>
    </row>
    <row r="129" spans="1:10" ht="37.5">
      <c r="A129" s="271" t="s">
        <v>45</v>
      </c>
      <c r="B129" s="271" t="s">
        <v>44</v>
      </c>
      <c r="C129" s="271" t="s">
        <v>11</v>
      </c>
      <c r="D129" s="299" t="s">
        <v>46</v>
      </c>
      <c r="E129" s="129" t="s">
        <v>55</v>
      </c>
      <c r="F129" s="130" t="s">
        <v>68</v>
      </c>
      <c r="G129" s="58"/>
      <c r="H129" s="58">
        <f>H130+H134</f>
        <v>4747395.29</v>
      </c>
      <c r="I129" s="58"/>
      <c r="J129" s="58">
        <f t="shared" ref="J129" si="8">J130+J134</f>
        <v>4747395.29</v>
      </c>
    </row>
    <row r="130" spans="1:10" ht="56.25">
      <c r="A130" s="272"/>
      <c r="B130" s="272"/>
      <c r="C130" s="272"/>
      <c r="D130" s="301"/>
      <c r="E130" s="64" t="s">
        <v>434</v>
      </c>
      <c r="F130" s="11" t="s">
        <v>68</v>
      </c>
      <c r="G130" s="49"/>
      <c r="H130" s="49">
        <f>316000-68604.71+H131+H132+H133</f>
        <v>4047395.29</v>
      </c>
      <c r="I130" s="49"/>
      <c r="J130" s="49">
        <f t="shared" ref="J130" si="9">316000-68604.71+J131+J132+J133</f>
        <v>4047395.29</v>
      </c>
    </row>
    <row r="131" spans="1:10" ht="37.5">
      <c r="A131" s="272"/>
      <c r="B131" s="272"/>
      <c r="C131" s="272"/>
      <c r="D131" s="301"/>
      <c r="E131" s="45" t="s">
        <v>272</v>
      </c>
      <c r="F131" s="11" t="s">
        <v>68</v>
      </c>
      <c r="G131" s="97"/>
      <c r="H131" s="97">
        <v>1300000</v>
      </c>
      <c r="I131" s="35"/>
      <c r="J131" s="97">
        <v>1300000</v>
      </c>
    </row>
    <row r="132" spans="1:10" ht="37.5" customHeight="1">
      <c r="A132" s="272"/>
      <c r="B132" s="272"/>
      <c r="C132" s="272"/>
      <c r="D132" s="301"/>
      <c r="E132" s="45" t="s">
        <v>273</v>
      </c>
      <c r="F132" s="11" t="s">
        <v>68</v>
      </c>
      <c r="G132" s="97"/>
      <c r="H132" s="97">
        <v>1300000</v>
      </c>
      <c r="I132" s="35"/>
      <c r="J132" s="97">
        <v>1300000</v>
      </c>
    </row>
    <row r="133" spans="1:10" ht="37.5">
      <c r="A133" s="272"/>
      <c r="B133" s="272"/>
      <c r="C133" s="272"/>
      <c r="D133" s="301"/>
      <c r="E133" s="45" t="s">
        <v>274</v>
      </c>
      <c r="F133" s="11" t="s">
        <v>68</v>
      </c>
      <c r="G133" s="97"/>
      <c r="H133" s="97">
        <v>1200000</v>
      </c>
      <c r="I133" s="35"/>
      <c r="J133" s="97">
        <v>1200000</v>
      </c>
    </row>
    <row r="134" spans="1:10" ht="112.5">
      <c r="A134" s="273"/>
      <c r="B134" s="273"/>
      <c r="C134" s="273"/>
      <c r="D134" s="300"/>
      <c r="E134" s="128" t="s">
        <v>345</v>
      </c>
      <c r="F134" s="11" t="s">
        <v>68</v>
      </c>
      <c r="G134" s="49"/>
      <c r="H134" s="49">
        <v>700000</v>
      </c>
      <c r="I134" s="35"/>
      <c r="J134" s="49">
        <v>700000</v>
      </c>
    </row>
    <row r="135" spans="1:10" ht="132" customHeight="1">
      <c r="A135" s="77" t="s">
        <v>105</v>
      </c>
      <c r="B135" s="77" t="s">
        <v>106</v>
      </c>
      <c r="C135" s="77" t="s">
        <v>11</v>
      </c>
      <c r="D135" s="63" t="s">
        <v>107</v>
      </c>
      <c r="E135" s="115" t="s">
        <v>362</v>
      </c>
      <c r="F135" s="52" t="s">
        <v>68</v>
      </c>
      <c r="G135" s="53">
        <v>1000000</v>
      </c>
      <c r="H135" s="53">
        <v>1000000</v>
      </c>
      <c r="I135" s="35">
        <v>1</v>
      </c>
      <c r="J135" s="49">
        <v>1000000</v>
      </c>
    </row>
    <row r="136" spans="1:10">
      <c r="A136" s="271" t="s">
        <v>43</v>
      </c>
      <c r="B136" s="271" t="s">
        <v>42</v>
      </c>
      <c r="C136" s="271" t="s">
        <v>12</v>
      </c>
      <c r="D136" s="299" t="s">
        <v>13</v>
      </c>
      <c r="E136" s="38" t="s">
        <v>55</v>
      </c>
      <c r="F136" s="126"/>
      <c r="G136" s="55">
        <f>G137+G165+G167+G166</f>
        <v>4933624</v>
      </c>
      <c r="H136" s="55">
        <f>H137+H165+H167+H166</f>
        <v>4933624</v>
      </c>
      <c r="I136" s="55"/>
      <c r="J136" s="55">
        <f>J137+J165+J167+J166</f>
        <v>3097340</v>
      </c>
    </row>
    <row r="137" spans="1:10" ht="83.25" customHeight="1">
      <c r="A137" s="272"/>
      <c r="B137" s="272"/>
      <c r="C137" s="272"/>
      <c r="D137" s="301"/>
      <c r="E137" s="47" t="s">
        <v>77</v>
      </c>
      <c r="F137" s="50" t="s">
        <v>68</v>
      </c>
      <c r="G137" s="49">
        <f>SUM(G138:G164)</f>
        <v>4578624</v>
      </c>
      <c r="H137" s="49">
        <f t="shared" ref="H137:J137" si="10">SUM(H138:H164)</f>
        <v>4578624</v>
      </c>
      <c r="I137" s="49"/>
      <c r="J137" s="49">
        <f t="shared" si="10"/>
        <v>3037340</v>
      </c>
    </row>
    <row r="138" spans="1:10" ht="18.75" customHeight="1">
      <c r="A138" s="272"/>
      <c r="B138" s="272"/>
      <c r="C138" s="272"/>
      <c r="D138" s="301"/>
      <c r="E138" s="136" t="s">
        <v>418</v>
      </c>
      <c r="F138" s="45" t="s">
        <v>68</v>
      </c>
      <c r="G138" s="137">
        <v>100000</v>
      </c>
      <c r="H138" s="137">
        <v>100000</v>
      </c>
      <c r="I138" s="46">
        <v>1</v>
      </c>
      <c r="J138" s="137">
        <v>100000</v>
      </c>
    </row>
    <row r="139" spans="1:10" ht="58.5">
      <c r="A139" s="272"/>
      <c r="B139" s="272"/>
      <c r="C139" s="272"/>
      <c r="D139" s="301"/>
      <c r="E139" s="124" t="s">
        <v>382</v>
      </c>
      <c r="F139" s="123" t="s">
        <v>68</v>
      </c>
      <c r="G139" s="59">
        <v>117530</v>
      </c>
      <c r="H139" s="59">
        <v>117530</v>
      </c>
      <c r="I139" s="46"/>
      <c r="J139" s="59"/>
    </row>
    <row r="140" spans="1:10" ht="18.75" customHeight="1">
      <c r="A140" s="272"/>
      <c r="B140" s="272"/>
      <c r="C140" s="272"/>
      <c r="D140" s="301"/>
      <c r="E140" s="136" t="s">
        <v>419</v>
      </c>
      <c r="F140" s="45" t="s">
        <v>68</v>
      </c>
      <c r="G140" s="137">
        <v>90000</v>
      </c>
      <c r="H140" s="137">
        <v>90000</v>
      </c>
      <c r="I140" s="46">
        <v>1</v>
      </c>
      <c r="J140" s="137">
        <v>90000</v>
      </c>
    </row>
    <row r="141" spans="1:10" ht="37.5">
      <c r="A141" s="272"/>
      <c r="B141" s="272"/>
      <c r="C141" s="272"/>
      <c r="D141" s="301"/>
      <c r="E141" s="62" t="s">
        <v>108</v>
      </c>
      <c r="F141" s="45" t="s">
        <v>68</v>
      </c>
      <c r="G141" s="59">
        <v>36340</v>
      </c>
      <c r="H141" s="59">
        <v>36340</v>
      </c>
      <c r="I141" s="46">
        <v>1</v>
      </c>
      <c r="J141" s="59">
        <v>36340</v>
      </c>
    </row>
    <row r="142" spans="1:10" ht="78">
      <c r="A142" s="272"/>
      <c r="B142" s="272"/>
      <c r="C142" s="272"/>
      <c r="D142" s="301"/>
      <c r="E142" s="44" t="s">
        <v>354</v>
      </c>
      <c r="F142" s="45" t="s">
        <v>68</v>
      </c>
      <c r="G142" s="59">
        <v>16560</v>
      </c>
      <c r="H142" s="59">
        <v>16560</v>
      </c>
      <c r="I142" s="46">
        <v>1</v>
      </c>
      <c r="J142" s="59"/>
    </row>
    <row r="143" spans="1:10" ht="18.75" customHeight="1">
      <c r="A143" s="272"/>
      <c r="B143" s="272"/>
      <c r="C143" s="272"/>
      <c r="D143" s="301"/>
      <c r="E143" s="136" t="s">
        <v>424</v>
      </c>
      <c r="F143" s="45" t="s">
        <v>68</v>
      </c>
      <c r="G143" s="137">
        <v>100000</v>
      </c>
      <c r="H143" s="137">
        <v>100000</v>
      </c>
      <c r="I143" s="46">
        <v>1</v>
      </c>
      <c r="J143" s="137">
        <v>100000</v>
      </c>
    </row>
    <row r="144" spans="1:10" ht="18.75" customHeight="1">
      <c r="A144" s="272"/>
      <c r="B144" s="272"/>
      <c r="C144" s="272"/>
      <c r="D144" s="301"/>
      <c r="E144" s="44" t="s">
        <v>421</v>
      </c>
      <c r="F144" s="45" t="s">
        <v>68</v>
      </c>
      <c r="G144" s="138">
        <v>541000</v>
      </c>
      <c r="H144" s="138">
        <v>541000</v>
      </c>
      <c r="I144" s="46">
        <v>1</v>
      </c>
      <c r="J144" s="138">
        <v>541000</v>
      </c>
    </row>
    <row r="145" spans="1:11" ht="78">
      <c r="A145" s="272"/>
      <c r="B145" s="272"/>
      <c r="C145" s="272"/>
      <c r="D145" s="301"/>
      <c r="E145" s="124" t="s">
        <v>383</v>
      </c>
      <c r="F145" s="123" t="s">
        <v>68</v>
      </c>
      <c r="G145" s="59">
        <v>222504</v>
      </c>
      <c r="H145" s="59">
        <v>222504</v>
      </c>
      <c r="I145" s="46"/>
      <c r="J145" s="59"/>
    </row>
    <row r="146" spans="1:11" ht="18.75" customHeight="1">
      <c r="A146" s="272"/>
      <c r="B146" s="272"/>
      <c r="C146" s="272"/>
      <c r="D146" s="301"/>
      <c r="E146" s="136" t="s">
        <v>422</v>
      </c>
      <c r="F146" s="45" t="s">
        <v>68</v>
      </c>
      <c r="G146" s="139">
        <v>500000</v>
      </c>
      <c r="H146" s="139">
        <v>500000</v>
      </c>
      <c r="I146" s="46">
        <v>1</v>
      </c>
      <c r="J146" s="139">
        <v>500000</v>
      </c>
    </row>
    <row r="147" spans="1:11" ht="18.75" customHeight="1">
      <c r="A147" s="272"/>
      <c r="B147" s="272"/>
      <c r="C147" s="272"/>
      <c r="D147" s="301"/>
      <c r="E147" s="136" t="s">
        <v>420</v>
      </c>
      <c r="F147" s="45" t="s">
        <v>68</v>
      </c>
      <c r="G147" s="137">
        <v>300000</v>
      </c>
      <c r="H147" s="137">
        <v>300000</v>
      </c>
      <c r="I147" s="46">
        <v>1</v>
      </c>
      <c r="J147" s="137">
        <v>300000</v>
      </c>
    </row>
    <row r="148" spans="1:11" ht="18.75" customHeight="1">
      <c r="A148" s="272"/>
      <c r="B148" s="272"/>
      <c r="C148" s="272"/>
      <c r="D148" s="301"/>
      <c r="E148" s="62" t="s">
        <v>75</v>
      </c>
      <c r="F148" s="45" t="s">
        <v>68</v>
      </c>
      <c r="G148" s="59">
        <v>15490</v>
      </c>
      <c r="H148" s="59">
        <v>15490</v>
      </c>
      <c r="I148" s="46">
        <v>1</v>
      </c>
      <c r="J148" s="59">
        <v>15490</v>
      </c>
    </row>
    <row r="149" spans="1:11" ht="78">
      <c r="A149" s="272"/>
      <c r="B149" s="272"/>
      <c r="C149" s="272"/>
      <c r="D149" s="301"/>
      <c r="E149" s="44" t="s">
        <v>353</v>
      </c>
      <c r="F149" s="45" t="s">
        <v>68</v>
      </c>
      <c r="G149" s="59">
        <v>193830</v>
      </c>
      <c r="H149" s="59">
        <v>193830</v>
      </c>
      <c r="I149" s="46">
        <v>1</v>
      </c>
      <c r="J149" s="59"/>
    </row>
    <row r="150" spans="1:11" ht="18.75" customHeight="1">
      <c r="A150" s="272"/>
      <c r="B150" s="272"/>
      <c r="C150" s="272"/>
      <c r="D150" s="301"/>
      <c r="E150" s="215" t="s">
        <v>427</v>
      </c>
      <c r="F150" s="216" t="s">
        <v>68</v>
      </c>
      <c r="G150" s="217">
        <v>100000</v>
      </c>
      <c r="H150" s="217">
        <v>100000</v>
      </c>
      <c r="I150" s="218">
        <v>1</v>
      </c>
      <c r="J150" s="217">
        <v>100000</v>
      </c>
      <c r="K150" s="10" t="s">
        <v>477</v>
      </c>
    </row>
    <row r="151" spans="1:11" ht="18.75" customHeight="1">
      <c r="A151" s="272"/>
      <c r="B151" s="272"/>
      <c r="C151" s="272"/>
      <c r="D151" s="301"/>
      <c r="E151" s="136" t="s">
        <v>428</v>
      </c>
      <c r="F151" s="45" t="s">
        <v>68</v>
      </c>
      <c r="G151" s="137">
        <v>200000</v>
      </c>
      <c r="H151" s="137">
        <v>200000</v>
      </c>
      <c r="I151" s="46">
        <v>1</v>
      </c>
      <c r="J151" s="137">
        <v>200000</v>
      </c>
    </row>
    <row r="152" spans="1:11" ht="58.5">
      <c r="A152" s="272"/>
      <c r="B152" s="272"/>
      <c r="C152" s="272"/>
      <c r="D152" s="301"/>
      <c r="E152" s="124" t="s">
        <v>379</v>
      </c>
      <c r="F152" s="123" t="s">
        <v>68</v>
      </c>
      <c r="G152" s="59">
        <v>265930</v>
      </c>
      <c r="H152" s="59">
        <v>265930</v>
      </c>
      <c r="I152" s="46"/>
      <c r="J152" s="59"/>
    </row>
    <row r="153" spans="1:11" ht="58.5">
      <c r="A153" s="272"/>
      <c r="B153" s="272"/>
      <c r="C153" s="272"/>
      <c r="D153" s="301"/>
      <c r="E153" s="124" t="s">
        <v>381</v>
      </c>
      <c r="F153" s="123" t="s">
        <v>68</v>
      </c>
      <c r="G153" s="59">
        <v>265930</v>
      </c>
      <c r="H153" s="59">
        <v>265930</v>
      </c>
      <c r="I153" s="46"/>
      <c r="J153" s="59"/>
    </row>
    <row r="154" spans="1:11" ht="19.5" customHeight="1">
      <c r="A154" s="272"/>
      <c r="B154" s="272"/>
      <c r="C154" s="272"/>
      <c r="D154" s="301"/>
      <c r="E154" s="62" t="s">
        <v>109</v>
      </c>
      <c r="F154" s="45" t="s">
        <v>68</v>
      </c>
      <c r="G154" s="59">
        <v>100000</v>
      </c>
      <c r="H154" s="59">
        <v>100000</v>
      </c>
      <c r="I154" s="46">
        <v>1</v>
      </c>
      <c r="J154" s="59">
        <v>100000</v>
      </c>
    </row>
    <row r="155" spans="1:11" ht="58.5">
      <c r="A155" s="272"/>
      <c r="B155" s="272"/>
      <c r="C155" s="272"/>
      <c r="D155" s="301"/>
      <c r="E155" s="124" t="s">
        <v>380</v>
      </c>
      <c r="F155" s="123" t="s">
        <v>68</v>
      </c>
      <c r="G155" s="59">
        <v>250000</v>
      </c>
      <c r="H155" s="59">
        <v>250000</v>
      </c>
      <c r="I155" s="46"/>
      <c r="J155" s="59"/>
    </row>
    <row r="156" spans="1:11" ht="77.25">
      <c r="A156" s="272"/>
      <c r="B156" s="272"/>
      <c r="C156" s="272"/>
      <c r="D156" s="301"/>
      <c r="E156" s="124" t="s">
        <v>386</v>
      </c>
      <c r="F156" s="123" t="s">
        <v>68</v>
      </c>
      <c r="G156" s="59">
        <v>137000</v>
      </c>
      <c r="H156" s="59">
        <v>137000</v>
      </c>
      <c r="I156" s="46"/>
      <c r="J156" s="59"/>
    </row>
    <row r="157" spans="1:11" ht="24" customHeight="1">
      <c r="A157" s="272"/>
      <c r="B157" s="272"/>
      <c r="C157" s="272"/>
      <c r="D157" s="301"/>
      <c r="E157" s="62" t="s">
        <v>110</v>
      </c>
      <c r="F157" s="45" t="s">
        <v>68</v>
      </c>
      <c r="G157" s="59">
        <v>120000</v>
      </c>
      <c r="H157" s="59">
        <v>120000</v>
      </c>
      <c r="I157" s="46">
        <v>1</v>
      </c>
      <c r="J157" s="59">
        <v>120000</v>
      </c>
    </row>
    <row r="158" spans="1:11" ht="78">
      <c r="A158" s="272"/>
      <c r="B158" s="272"/>
      <c r="C158" s="272"/>
      <c r="D158" s="301"/>
      <c r="E158" s="124" t="s">
        <v>384</v>
      </c>
      <c r="F158" s="123" t="s">
        <v>68</v>
      </c>
      <c r="G158" s="59">
        <v>72000</v>
      </c>
      <c r="H158" s="59">
        <v>72000</v>
      </c>
      <c r="I158" s="46"/>
      <c r="J158" s="59"/>
    </row>
    <row r="159" spans="1:11" ht="37.5">
      <c r="A159" s="272"/>
      <c r="B159" s="272"/>
      <c r="C159" s="272"/>
      <c r="D159" s="301"/>
      <c r="E159" s="62" t="s">
        <v>111</v>
      </c>
      <c r="F159" s="45" t="s">
        <v>68</v>
      </c>
      <c r="G159" s="59">
        <v>150000</v>
      </c>
      <c r="H159" s="59">
        <v>150000</v>
      </c>
      <c r="I159" s="46">
        <v>1</v>
      </c>
      <c r="J159" s="59">
        <v>150000</v>
      </c>
    </row>
    <row r="160" spans="1:11" ht="21.75" customHeight="1">
      <c r="A160" s="272"/>
      <c r="B160" s="272"/>
      <c r="C160" s="272"/>
      <c r="D160" s="301"/>
      <c r="E160" s="62" t="s">
        <v>79</v>
      </c>
      <c r="F160" s="45" t="s">
        <v>68</v>
      </c>
      <c r="G160" s="59">
        <v>-11800</v>
      </c>
      <c r="H160" s="59">
        <v>-11800</v>
      </c>
      <c r="I160" s="46"/>
      <c r="J160" s="59">
        <v>-11800</v>
      </c>
    </row>
    <row r="161" spans="1:10" ht="18.75" customHeight="1">
      <c r="A161" s="272"/>
      <c r="B161" s="272"/>
      <c r="C161" s="272"/>
      <c r="D161" s="301"/>
      <c r="E161" s="136" t="s">
        <v>425</v>
      </c>
      <c r="F161" s="45" t="s">
        <v>68</v>
      </c>
      <c r="G161" s="137">
        <v>200000</v>
      </c>
      <c r="H161" s="137">
        <v>200000</v>
      </c>
      <c r="I161" s="46">
        <v>1</v>
      </c>
      <c r="J161" s="137">
        <v>200000</v>
      </c>
    </row>
    <row r="162" spans="1:10" ht="19.5" customHeight="1">
      <c r="A162" s="272"/>
      <c r="B162" s="272"/>
      <c r="C162" s="272"/>
      <c r="D162" s="301"/>
      <c r="E162" s="62" t="s">
        <v>80</v>
      </c>
      <c r="F162" s="45" t="s">
        <v>68</v>
      </c>
      <c r="G162" s="59">
        <v>-3690</v>
      </c>
      <c r="H162" s="59">
        <v>-3690</v>
      </c>
      <c r="I162" s="46"/>
      <c r="J162" s="59">
        <v>-3690</v>
      </c>
    </row>
    <row r="163" spans="1:10" ht="18.75" customHeight="1">
      <c r="A163" s="272"/>
      <c r="B163" s="272"/>
      <c r="C163" s="272"/>
      <c r="D163" s="301"/>
      <c r="E163" s="136" t="s">
        <v>423</v>
      </c>
      <c r="F163" s="45" t="s">
        <v>68</v>
      </c>
      <c r="G163" s="137">
        <v>300000</v>
      </c>
      <c r="H163" s="137">
        <v>300000</v>
      </c>
      <c r="I163" s="46">
        <v>1</v>
      </c>
      <c r="J163" s="137">
        <v>300000</v>
      </c>
    </row>
    <row r="164" spans="1:10" ht="18.75" customHeight="1">
      <c r="A164" s="272"/>
      <c r="B164" s="272"/>
      <c r="C164" s="272"/>
      <c r="D164" s="301"/>
      <c r="E164" s="136" t="s">
        <v>426</v>
      </c>
      <c r="F164" s="45" t="s">
        <v>68</v>
      </c>
      <c r="G164" s="137">
        <v>200000</v>
      </c>
      <c r="H164" s="137">
        <v>200000</v>
      </c>
      <c r="I164" s="46">
        <v>1</v>
      </c>
      <c r="J164" s="137">
        <v>200000</v>
      </c>
    </row>
    <row r="165" spans="1:10" ht="75">
      <c r="A165" s="272"/>
      <c r="B165" s="272"/>
      <c r="C165" s="272"/>
      <c r="D165" s="301"/>
      <c r="E165" s="121" t="s">
        <v>429</v>
      </c>
      <c r="F165" s="125" t="s">
        <v>68</v>
      </c>
      <c r="G165" s="49">
        <v>30000</v>
      </c>
      <c r="H165" s="49">
        <v>30000</v>
      </c>
      <c r="I165" s="35"/>
      <c r="J165" s="49">
        <v>30000</v>
      </c>
    </row>
    <row r="166" spans="1:10" ht="75">
      <c r="A166" s="272"/>
      <c r="B166" s="272"/>
      <c r="C166" s="272"/>
      <c r="D166" s="301"/>
      <c r="E166" s="121" t="s">
        <v>444</v>
      </c>
      <c r="F166" s="125" t="s">
        <v>68</v>
      </c>
      <c r="G166" s="49">
        <v>30000</v>
      </c>
      <c r="H166" s="49">
        <v>30000</v>
      </c>
      <c r="I166" s="35"/>
      <c r="J166" s="49">
        <v>30000</v>
      </c>
    </row>
    <row r="167" spans="1:10" ht="131.25">
      <c r="A167" s="273"/>
      <c r="B167" s="273"/>
      <c r="C167" s="273"/>
      <c r="D167" s="300"/>
      <c r="E167" s="121" t="s">
        <v>385</v>
      </c>
      <c r="F167" s="125" t="s">
        <v>68</v>
      </c>
      <c r="G167" s="49">
        <v>295000</v>
      </c>
      <c r="H167" s="49">
        <v>295000</v>
      </c>
      <c r="I167" s="35"/>
      <c r="J167" s="49"/>
    </row>
    <row r="168" spans="1:10" s="10" customFormat="1" ht="41.25" customHeight="1">
      <c r="A168" s="5" t="s">
        <v>4</v>
      </c>
      <c r="B168" s="5"/>
      <c r="C168" s="5"/>
      <c r="D168" s="268" t="s">
        <v>9</v>
      </c>
      <c r="E168" s="269"/>
      <c r="F168" s="70"/>
      <c r="G168" s="54">
        <f>G169</f>
        <v>217029540</v>
      </c>
      <c r="H168" s="54">
        <f>H169</f>
        <v>12200000</v>
      </c>
      <c r="I168" s="31"/>
      <c r="J168" s="54">
        <f>J169</f>
        <v>10200000</v>
      </c>
    </row>
    <row r="169" spans="1:10" s="10" customFormat="1" ht="41.25" customHeight="1">
      <c r="A169" s="5" t="s">
        <v>5</v>
      </c>
      <c r="B169" s="5"/>
      <c r="C169" s="5"/>
      <c r="D169" s="268" t="s">
        <v>9</v>
      </c>
      <c r="E169" s="269"/>
      <c r="F169" s="70"/>
      <c r="G169" s="54">
        <f>G170</f>
        <v>217029540</v>
      </c>
      <c r="H169" s="54">
        <f t="shared" ref="H169:J169" si="11">H170</f>
        <v>12200000</v>
      </c>
      <c r="I169" s="54"/>
      <c r="J169" s="54">
        <f t="shared" si="11"/>
        <v>10200000</v>
      </c>
    </row>
    <row r="170" spans="1:10" ht="18.75" customHeight="1">
      <c r="A170" s="271" t="s">
        <v>54</v>
      </c>
      <c r="B170" s="271" t="s">
        <v>52</v>
      </c>
      <c r="C170" s="271" t="s">
        <v>10</v>
      </c>
      <c r="D170" s="283" t="s">
        <v>35</v>
      </c>
      <c r="E170" s="28" t="s">
        <v>55</v>
      </c>
      <c r="F170" s="28"/>
      <c r="G170" s="58">
        <f>SUM(G171:G173)</f>
        <v>217029540</v>
      </c>
      <c r="H170" s="58">
        <f>SUM(H171:H179)</f>
        <v>12200000</v>
      </c>
      <c r="I170" s="58"/>
      <c r="J170" s="58">
        <f t="shared" ref="J170" si="12">SUM(J171:J179)</f>
        <v>10200000</v>
      </c>
    </row>
    <row r="171" spans="1:10" ht="75">
      <c r="A171" s="272"/>
      <c r="B171" s="272"/>
      <c r="C171" s="272"/>
      <c r="D171" s="284"/>
      <c r="E171" s="73" t="s">
        <v>69</v>
      </c>
      <c r="F171" s="11" t="s">
        <v>71</v>
      </c>
      <c r="G171" s="56">
        <v>217029540</v>
      </c>
      <c r="H171" s="60">
        <f>5200000</f>
        <v>5200000</v>
      </c>
      <c r="I171" s="79"/>
      <c r="J171" s="60">
        <f>5200000-3000000</f>
        <v>2200000</v>
      </c>
    </row>
    <row r="172" spans="1:10" ht="56.25">
      <c r="A172" s="272"/>
      <c r="B172" s="272"/>
      <c r="C172" s="272"/>
      <c r="D172" s="284"/>
      <c r="E172" s="118" t="s">
        <v>300</v>
      </c>
      <c r="F172" s="120"/>
      <c r="G172" s="56"/>
      <c r="H172" s="60"/>
      <c r="I172" s="79"/>
      <c r="J172" s="60">
        <v>3000000</v>
      </c>
    </row>
    <row r="173" spans="1:10" ht="126" customHeight="1">
      <c r="A173" s="272"/>
      <c r="B173" s="272"/>
      <c r="C173" s="272"/>
      <c r="D173" s="284"/>
      <c r="E173" s="117" t="s">
        <v>352</v>
      </c>
      <c r="F173" s="116"/>
      <c r="G173" s="56"/>
      <c r="H173" s="60">
        <v>2000000</v>
      </c>
      <c r="I173" s="79"/>
      <c r="J173" s="60"/>
    </row>
    <row r="174" spans="1:10" ht="150">
      <c r="A174" s="272"/>
      <c r="B174" s="272"/>
      <c r="C174" s="272"/>
      <c r="D174" s="284"/>
      <c r="E174" s="152" t="s">
        <v>304</v>
      </c>
      <c r="F174" s="151"/>
      <c r="G174" s="56"/>
      <c r="H174" s="60">
        <f>-770000-340000-260000-320000</f>
        <v>-1690000</v>
      </c>
      <c r="I174" s="79"/>
      <c r="J174" s="60"/>
    </row>
    <row r="175" spans="1:10" ht="199.5" customHeight="1">
      <c r="A175" s="272"/>
      <c r="B175" s="272"/>
      <c r="C175" s="272"/>
      <c r="D175" s="284"/>
      <c r="E175" s="153" t="s">
        <v>448</v>
      </c>
      <c r="F175" s="154" t="s">
        <v>68</v>
      </c>
      <c r="G175" s="56">
        <v>7700000</v>
      </c>
      <c r="H175" s="60">
        <v>770000</v>
      </c>
      <c r="I175" s="79">
        <v>1</v>
      </c>
      <c r="J175" s="60"/>
    </row>
    <row r="176" spans="1:10" ht="150">
      <c r="A176" s="272"/>
      <c r="B176" s="272"/>
      <c r="C176" s="272"/>
      <c r="D176" s="284"/>
      <c r="E176" s="153" t="s">
        <v>449</v>
      </c>
      <c r="F176" s="154" t="s">
        <v>68</v>
      </c>
      <c r="G176" s="56">
        <v>3400000</v>
      </c>
      <c r="H176" s="60">
        <v>340000</v>
      </c>
      <c r="I176" s="79">
        <v>1</v>
      </c>
      <c r="J176" s="60"/>
    </row>
    <row r="177" spans="1:10" ht="150">
      <c r="A177" s="272"/>
      <c r="B177" s="272"/>
      <c r="C177" s="272"/>
      <c r="D177" s="284"/>
      <c r="E177" s="153" t="s">
        <v>450</v>
      </c>
      <c r="F177" s="154" t="s">
        <v>68</v>
      </c>
      <c r="G177" s="56">
        <v>2600000</v>
      </c>
      <c r="H177" s="60">
        <v>260000</v>
      </c>
      <c r="I177" s="79">
        <v>1</v>
      </c>
      <c r="J177" s="60"/>
    </row>
    <row r="178" spans="1:10" ht="131.25">
      <c r="A178" s="273"/>
      <c r="B178" s="273"/>
      <c r="C178" s="273"/>
      <c r="D178" s="285"/>
      <c r="E178" s="153" t="s">
        <v>451</v>
      </c>
      <c r="F178" s="154" t="s">
        <v>68</v>
      </c>
      <c r="G178" s="56">
        <v>3200000</v>
      </c>
      <c r="H178" s="60">
        <v>320000</v>
      </c>
      <c r="I178" s="79">
        <v>1</v>
      </c>
      <c r="J178" s="60"/>
    </row>
    <row r="179" spans="1:10" ht="63" customHeight="1">
      <c r="A179" s="6" t="s">
        <v>311</v>
      </c>
      <c r="B179" s="6" t="s">
        <v>312</v>
      </c>
      <c r="C179" s="6" t="s">
        <v>313</v>
      </c>
      <c r="D179" s="7" t="s">
        <v>314</v>
      </c>
      <c r="E179" s="11" t="s">
        <v>315</v>
      </c>
      <c r="F179" s="11" t="s">
        <v>316</v>
      </c>
      <c r="G179" s="82">
        <v>155214024</v>
      </c>
      <c r="H179" s="91">
        <v>5000000</v>
      </c>
      <c r="I179" s="79"/>
      <c r="J179" s="91">
        <v>5000000</v>
      </c>
    </row>
    <row r="180" spans="1:10" s="10" customFormat="1" ht="18.75" customHeight="1">
      <c r="A180" s="5" t="s">
        <v>47</v>
      </c>
      <c r="B180" s="9"/>
      <c r="C180" s="9"/>
      <c r="D180" s="268" t="s">
        <v>48</v>
      </c>
      <c r="E180" s="269"/>
      <c r="F180" s="70"/>
      <c r="G180" s="54">
        <f>G181</f>
        <v>-5503348</v>
      </c>
      <c r="H180" s="54">
        <f>H181</f>
        <v>-5503348</v>
      </c>
      <c r="I180" s="31"/>
      <c r="J180" s="54">
        <f>J181</f>
        <v>2213300</v>
      </c>
    </row>
    <row r="181" spans="1:10" s="10" customFormat="1" ht="18.75" customHeight="1">
      <c r="A181" s="5" t="s">
        <v>51</v>
      </c>
      <c r="B181" s="9"/>
      <c r="C181" s="9"/>
      <c r="D181" s="268" t="s">
        <v>48</v>
      </c>
      <c r="E181" s="269"/>
      <c r="F181" s="70"/>
      <c r="G181" s="54">
        <f>G182+G183+G185</f>
        <v>-5503348</v>
      </c>
      <c r="H181" s="54">
        <f t="shared" ref="H181:J181" si="13">H182+H183+H185</f>
        <v>-5503348</v>
      </c>
      <c r="I181" s="54"/>
      <c r="J181" s="54">
        <f t="shared" si="13"/>
        <v>2213300</v>
      </c>
    </row>
    <row r="182" spans="1:10" s="10" customFormat="1" ht="56.25">
      <c r="A182" s="6" t="s">
        <v>337</v>
      </c>
      <c r="B182" s="25" t="s">
        <v>49</v>
      </c>
      <c r="C182" s="25" t="s">
        <v>338</v>
      </c>
      <c r="D182" s="24" t="s">
        <v>339</v>
      </c>
      <c r="E182" s="116" t="s">
        <v>351</v>
      </c>
      <c r="F182" s="114"/>
      <c r="G182" s="56">
        <f>-8472398-600000</f>
        <v>-9072398</v>
      </c>
      <c r="H182" s="56">
        <f>-8472398-600000</f>
        <v>-9072398</v>
      </c>
      <c r="I182" s="54"/>
      <c r="J182" s="54"/>
    </row>
    <row r="183" spans="1:10" s="43" customFormat="1" ht="20.25" customHeight="1">
      <c r="A183" s="6" t="s">
        <v>342</v>
      </c>
      <c r="B183" s="25" t="s">
        <v>343</v>
      </c>
      <c r="C183" s="25" t="s">
        <v>49</v>
      </c>
      <c r="D183" s="24" t="s">
        <v>344</v>
      </c>
      <c r="E183" s="22" t="s">
        <v>55</v>
      </c>
      <c r="F183" s="22"/>
      <c r="G183" s="82">
        <f>G184</f>
        <v>-700000</v>
      </c>
      <c r="H183" s="82">
        <f t="shared" ref="H183:J183" si="14">H184</f>
        <v>-700000</v>
      </c>
      <c r="I183" s="82"/>
      <c r="J183" s="82">
        <f t="shared" si="14"/>
        <v>-700000</v>
      </c>
    </row>
    <row r="184" spans="1:10" s="43" customFormat="1" ht="112.5">
      <c r="A184" s="105"/>
      <c r="B184" s="106"/>
      <c r="C184" s="106"/>
      <c r="D184" s="41"/>
      <c r="E184" s="42" t="s">
        <v>345</v>
      </c>
      <c r="F184" s="42" t="s">
        <v>68</v>
      </c>
      <c r="G184" s="88">
        <v>-700000</v>
      </c>
      <c r="H184" s="107">
        <v>-700000</v>
      </c>
      <c r="I184" s="108">
        <v>1</v>
      </c>
      <c r="J184" s="107">
        <v>-700000</v>
      </c>
    </row>
    <row r="185" spans="1:10" s="43" customFormat="1" ht="75">
      <c r="A185" s="6" t="s">
        <v>112</v>
      </c>
      <c r="B185" s="25" t="s">
        <v>113</v>
      </c>
      <c r="C185" s="25" t="s">
        <v>49</v>
      </c>
      <c r="D185" s="24" t="s">
        <v>114</v>
      </c>
      <c r="E185" s="22" t="s">
        <v>55</v>
      </c>
      <c r="F185" s="22"/>
      <c r="G185" s="56">
        <f>SUM(G186:G191)</f>
        <v>4269050</v>
      </c>
      <c r="H185" s="56">
        <f t="shared" ref="H185:J185" si="15">SUM(H186:H191)</f>
        <v>4269050</v>
      </c>
      <c r="I185" s="56"/>
      <c r="J185" s="56">
        <f t="shared" si="15"/>
        <v>2913300</v>
      </c>
    </row>
    <row r="186" spans="1:10" s="43" customFormat="1" ht="75">
      <c r="A186" s="6"/>
      <c r="B186" s="25"/>
      <c r="C186" s="25"/>
      <c r="D186" s="24"/>
      <c r="E186" s="41" t="s">
        <v>115</v>
      </c>
      <c r="F186" s="42" t="s">
        <v>68</v>
      </c>
      <c r="G186" s="68">
        <v>1959200</v>
      </c>
      <c r="H186" s="68">
        <v>1959200</v>
      </c>
      <c r="I186" s="150">
        <v>1</v>
      </c>
      <c r="J186" s="68">
        <v>1959200</v>
      </c>
    </row>
    <row r="187" spans="1:10" s="43" customFormat="1" ht="75">
      <c r="A187" s="6"/>
      <c r="B187" s="25"/>
      <c r="C187" s="25"/>
      <c r="D187" s="24"/>
      <c r="E187" s="41" t="s">
        <v>116</v>
      </c>
      <c r="F187" s="42" t="s">
        <v>68</v>
      </c>
      <c r="G187" s="68">
        <v>113750</v>
      </c>
      <c r="H187" s="68">
        <v>113750</v>
      </c>
      <c r="I187" s="150">
        <v>1</v>
      </c>
      <c r="J187" s="68">
        <v>113000</v>
      </c>
    </row>
    <row r="188" spans="1:10" s="43" customFormat="1" ht="56.25">
      <c r="A188" s="6"/>
      <c r="B188" s="25"/>
      <c r="C188" s="25"/>
      <c r="D188" s="24"/>
      <c r="E188" s="41" t="s">
        <v>117</v>
      </c>
      <c r="F188" s="42" t="s">
        <v>68</v>
      </c>
      <c r="G188" s="68">
        <v>1550000</v>
      </c>
      <c r="H188" s="68">
        <v>1550000</v>
      </c>
      <c r="I188" s="150">
        <v>1</v>
      </c>
      <c r="J188" s="68">
        <f>1550000-1355000</f>
        <v>195000</v>
      </c>
    </row>
    <row r="189" spans="1:10" s="43" customFormat="1" ht="112.5">
      <c r="A189" s="6"/>
      <c r="B189" s="25"/>
      <c r="C189" s="25"/>
      <c r="D189" s="24"/>
      <c r="E189" s="41" t="s">
        <v>118</v>
      </c>
      <c r="F189" s="42" t="s">
        <v>68</v>
      </c>
      <c r="G189" s="68">
        <v>624100</v>
      </c>
      <c r="H189" s="68">
        <v>624100</v>
      </c>
      <c r="I189" s="150">
        <v>1</v>
      </c>
      <c r="J189" s="68">
        <v>624100</v>
      </c>
    </row>
    <row r="190" spans="1:10" s="43" customFormat="1" ht="112.5">
      <c r="A190" s="6"/>
      <c r="B190" s="25"/>
      <c r="C190" s="25"/>
      <c r="D190" s="24"/>
      <c r="E190" s="41" t="s">
        <v>119</v>
      </c>
      <c r="F190" s="42" t="s">
        <v>68</v>
      </c>
      <c r="G190" s="68">
        <v>7000</v>
      </c>
      <c r="H190" s="68">
        <v>7000</v>
      </c>
      <c r="I190" s="150">
        <v>1</v>
      </c>
      <c r="J190" s="68">
        <v>7000</v>
      </c>
    </row>
    <row r="191" spans="1:10" s="43" customFormat="1" ht="168.75">
      <c r="A191" s="6"/>
      <c r="B191" s="25"/>
      <c r="C191" s="25"/>
      <c r="D191" s="24"/>
      <c r="E191" s="41" t="s">
        <v>120</v>
      </c>
      <c r="F191" s="42" t="s">
        <v>68</v>
      </c>
      <c r="G191" s="68">
        <v>15000</v>
      </c>
      <c r="H191" s="68">
        <v>15000</v>
      </c>
      <c r="I191" s="150">
        <v>1</v>
      </c>
      <c r="J191" s="68">
        <v>15000</v>
      </c>
    </row>
    <row r="192" spans="1:10" s="111" customFormat="1" ht="54" customHeight="1">
      <c r="A192" s="280" t="s">
        <v>346</v>
      </c>
      <c r="B192" s="281"/>
      <c r="C192" s="281"/>
      <c r="D192" s="281"/>
      <c r="E192" s="282"/>
      <c r="F192" s="109"/>
      <c r="G192" s="110">
        <f>G194+G195+G206</f>
        <v>-7800000</v>
      </c>
      <c r="H192" s="110">
        <f>H194+H195+H206</f>
        <v>-13090000</v>
      </c>
      <c r="I192" s="110"/>
      <c r="J192" s="110">
        <f>J194+J195+J206</f>
        <v>-13090000</v>
      </c>
    </row>
    <row r="193" spans="1:10" s="43" customFormat="1">
      <c r="A193" s="5" t="s">
        <v>169</v>
      </c>
      <c r="B193" s="5"/>
      <c r="C193" s="5"/>
      <c r="D193" s="268" t="s">
        <v>168</v>
      </c>
      <c r="E193" s="269"/>
      <c r="F193" s="42"/>
      <c r="G193" s="80">
        <f>G194</f>
        <v>0</v>
      </c>
      <c r="H193" s="80">
        <f t="shared" ref="H193:J193" si="16">H194</f>
        <v>-5290000</v>
      </c>
      <c r="I193" s="80"/>
      <c r="J193" s="80">
        <f t="shared" si="16"/>
        <v>-5290000</v>
      </c>
    </row>
    <row r="194" spans="1:10" s="43" customFormat="1" ht="56.25">
      <c r="A194" s="6" t="s">
        <v>181</v>
      </c>
      <c r="B194" s="6" t="s">
        <v>52</v>
      </c>
      <c r="C194" s="6" t="s">
        <v>10</v>
      </c>
      <c r="D194" s="7" t="s">
        <v>35</v>
      </c>
      <c r="E194" s="83" t="s">
        <v>182</v>
      </c>
      <c r="F194" s="83"/>
      <c r="G194" s="81"/>
      <c r="H194" s="82">
        <f>-5180000-110000</f>
        <v>-5290000</v>
      </c>
      <c r="I194" s="32"/>
      <c r="J194" s="81">
        <f>-5180000-110000</f>
        <v>-5290000</v>
      </c>
    </row>
    <row r="195" spans="1:10" s="43" customFormat="1" ht="47.25" customHeight="1">
      <c r="A195" s="5" t="s">
        <v>30</v>
      </c>
      <c r="B195" s="5"/>
      <c r="C195" s="5"/>
      <c r="D195" s="268" t="s">
        <v>6</v>
      </c>
      <c r="E195" s="269"/>
      <c r="F195" s="83"/>
      <c r="G195" s="84">
        <f>G196+G201+G202</f>
        <v>-7800000</v>
      </c>
      <c r="H195" s="84">
        <f>H196+H201+H202</f>
        <v>-7800000</v>
      </c>
      <c r="I195" s="84"/>
      <c r="J195" s="84">
        <f>J196+J201+J202</f>
        <v>-7800000</v>
      </c>
    </row>
    <row r="196" spans="1:10" ht="41.25" customHeight="1">
      <c r="A196" s="271" t="s">
        <v>40</v>
      </c>
      <c r="B196" s="271" t="s">
        <v>39</v>
      </c>
      <c r="C196" s="271" t="s">
        <v>8</v>
      </c>
      <c r="D196" s="283" t="s">
        <v>41</v>
      </c>
      <c r="E196" s="92" t="s">
        <v>204</v>
      </c>
      <c r="F196" s="92"/>
      <c r="G196" s="81">
        <f>G197+G198+G199+G200</f>
        <v>-3500000</v>
      </c>
      <c r="H196" s="81">
        <f t="shared" ref="H196" si="17">H197+H198+H199+H200</f>
        <v>-3500000</v>
      </c>
      <c r="I196" s="81"/>
      <c r="J196" s="81">
        <f t="shared" ref="J196" si="18">J197+J198+J199+J200</f>
        <v>-3500000</v>
      </c>
    </row>
    <row r="197" spans="1:10" ht="94.5">
      <c r="A197" s="272"/>
      <c r="B197" s="272"/>
      <c r="C197" s="272"/>
      <c r="D197" s="284"/>
      <c r="E197" s="93" t="s">
        <v>205</v>
      </c>
      <c r="F197" s="42"/>
      <c r="G197" s="88">
        <v>-425000</v>
      </c>
      <c r="H197" s="88">
        <v>-425000</v>
      </c>
      <c r="I197" s="40">
        <v>1</v>
      </c>
      <c r="J197" s="88">
        <v>-425000</v>
      </c>
    </row>
    <row r="198" spans="1:10" ht="94.5">
      <c r="A198" s="272"/>
      <c r="B198" s="272"/>
      <c r="C198" s="272"/>
      <c r="D198" s="284"/>
      <c r="E198" s="93" t="s">
        <v>206</v>
      </c>
      <c r="F198" s="42"/>
      <c r="G198" s="88">
        <v>-1500000</v>
      </c>
      <c r="H198" s="88">
        <v>-1500000</v>
      </c>
      <c r="I198" s="40">
        <v>1</v>
      </c>
      <c r="J198" s="88">
        <v>-1500000</v>
      </c>
    </row>
    <row r="199" spans="1:10" ht="94.5">
      <c r="A199" s="272"/>
      <c r="B199" s="272"/>
      <c r="C199" s="272"/>
      <c r="D199" s="284"/>
      <c r="E199" s="93" t="s">
        <v>207</v>
      </c>
      <c r="F199" s="42"/>
      <c r="G199" s="88">
        <v>-750000</v>
      </c>
      <c r="H199" s="88">
        <v>-750000</v>
      </c>
      <c r="I199" s="40">
        <v>1</v>
      </c>
      <c r="J199" s="88">
        <v>-750000</v>
      </c>
    </row>
    <row r="200" spans="1:10" ht="94.5">
      <c r="A200" s="272"/>
      <c r="B200" s="272"/>
      <c r="C200" s="272"/>
      <c r="D200" s="284"/>
      <c r="E200" s="140" t="s">
        <v>208</v>
      </c>
      <c r="F200" s="141"/>
      <c r="G200" s="88">
        <v>-825000</v>
      </c>
      <c r="H200" s="88">
        <v>-825000</v>
      </c>
      <c r="I200" s="40">
        <v>1</v>
      </c>
      <c r="J200" s="88">
        <v>-825000</v>
      </c>
    </row>
    <row r="201" spans="1:10" ht="75">
      <c r="A201" s="66" t="s">
        <v>50</v>
      </c>
      <c r="B201" s="66" t="s">
        <v>23</v>
      </c>
      <c r="C201" s="66" t="s">
        <v>8</v>
      </c>
      <c r="D201" s="134" t="s">
        <v>24</v>
      </c>
      <c r="E201" s="134" t="s">
        <v>432</v>
      </c>
      <c r="F201" s="83"/>
      <c r="G201" s="81">
        <v>-500000</v>
      </c>
      <c r="H201" s="81">
        <v>-500000</v>
      </c>
      <c r="I201" s="81"/>
      <c r="J201" s="81">
        <v>-500000</v>
      </c>
    </row>
    <row r="202" spans="1:10" s="43" customFormat="1" ht="61.5" customHeight="1">
      <c r="A202" s="271" t="s">
        <v>45</v>
      </c>
      <c r="B202" s="271" t="s">
        <v>44</v>
      </c>
      <c r="C202" s="271" t="s">
        <v>11</v>
      </c>
      <c r="D202" s="274" t="s">
        <v>268</v>
      </c>
      <c r="E202" s="275"/>
      <c r="F202" s="23"/>
      <c r="G202" s="81">
        <f>G203+G204+G205</f>
        <v>-3800000</v>
      </c>
      <c r="H202" s="81">
        <f t="shared" ref="H202:J202" si="19">H203+H204+H205</f>
        <v>-3800000</v>
      </c>
      <c r="I202" s="81"/>
      <c r="J202" s="81">
        <f t="shared" si="19"/>
        <v>-3800000</v>
      </c>
    </row>
    <row r="203" spans="1:10" s="43" customFormat="1" ht="21" customHeight="1">
      <c r="A203" s="272"/>
      <c r="B203" s="272"/>
      <c r="C203" s="272"/>
      <c r="D203" s="112"/>
      <c r="E203" s="45" t="s">
        <v>272</v>
      </c>
      <c r="F203" s="11"/>
      <c r="G203" s="97">
        <v>-1300000</v>
      </c>
      <c r="H203" s="97">
        <v>-1300000</v>
      </c>
      <c r="I203" s="35"/>
      <c r="J203" s="97">
        <v>-1300000</v>
      </c>
    </row>
    <row r="204" spans="1:10" s="43" customFormat="1" ht="38.25" customHeight="1">
      <c r="A204" s="272"/>
      <c r="B204" s="272"/>
      <c r="C204" s="272"/>
      <c r="D204" s="112"/>
      <c r="E204" s="45" t="s">
        <v>273</v>
      </c>
      <c r="F204" s="11"/>
      <c r="G204" s="97">
        <v>-1300000</v>
      </c>
      <c r="H204" s="97">
        <v>-1300000</v>
      </c>
      <c r="I204" s="35"/>
      <c r="J204" s="97">
        <v>-1300000</v>
      </c>
    </row>
    <row r="205" spans="1:10" s="43" customFormat="1" ht="24.75" customHeight="1">
      <c r="A205" s="273"/>
      <c r="B205" s="273"/>
      <c r="C205" s="273"/>
      <c r="D205" s="112"/>
      <c r="E205" s="45" t="s">
        <v>274</v>
      </c>
      <c r="F205" s="11"/>
      <c r="G205" s="97">
        <v>-1200000</v>
      </c>
      <c r="H205" s="97">
        <v>-1200000</v>
      </c>
      <c r="I205" s="35"/>
      <c r="J205" s="97">
        <v>-1200000</v>
      </c>
    </row>
    <row r="206" spans="1:10" s="10" customFormat="1" ht="41.25" hidden="1" customHeight="1">
      <c r="A206" s="5" t="s">
        <v>4</v>
      </c>
      <c r="B206" s="5"/>
      <c r="C206" s="5"/>
      <c r="D206" s="268" t="s">
        <v>9</v>
      </c>
      <c r="E206" s="269"/>
      <c r="F206" s="131"/>
      <c r="G206" s="80"/>
      <c r="H206" s="80">
        <f>H207</f>
        <v>0</v>
      </c>
      <c r="I206" s="80">
        <f t="shared" ref="I206:J207" si="20">I207</f>
        <v>0</v>
      </c>
      <c r="J206" s="80">
        <f t="shared" si="20"/>
        <v>0</v>
      </c>
    </row>
    <row r="207" spans="1:10" s="10" customFormat="1" ht="41.25" hidden="1" customHeight="1">
      <c r="A207" s="5" t="s">
        <v>5</v>
      </c>
      <c r="B207" s="5"/>
      <c r="C207" s="5"/>
      <c r="D207" s="268" t="s">
        <v>9</v>
      </c>
      <c r="E207" s="269"/>
      <c r="F207" s="131"/>
      <c r="G207" s="80"/>
      <c r="H207" s="80">
        <f>H208</f>
        <v>0</v>
      </c>
      <c r="I207" s="80">
        <f t="shared" si="20"/>
        <v>0</v>
      </c>
      <c r="J207" s="80">
        <f t="shared" si="20"/>
        <v>0</v>
      </c>
    </row>
    <row r="208" spans="1:10" s="43" customFormat="1" ht="78" hidden="1" customHeight="1">
      <c r="A208" s="132" t="s">
        <v>54</v>
      </c>
      <c r="B208" s="132" t="s">
        <v>52</v>
      </c>
      <c r="C208" s="132" t="s">
        <v>10</v>
      </c>
      <c r="D208" s="112" t="s">
        <v>35</v>
      </c>
      <c r="E208" s="45" t="s">
        <v>69</v>
      </c>
      <c r="F208" s="11"/>
      <c r="G208" s="97"/>
      <c r="H208" s="97"/>
      <c r="I208" s="35"/>
      <c r="J208" s="97"/>
    </row>
    <row r="209" spans="1:10">
      <c r="A209" s="19"/>
      <c r="B209" s="6"/>
      <c r="C209" s="6"/>
      <c r="D209" s="13"/>
      <c r="E209" s="18" t="s">
        <v>0</v>
      </c>
      <c r="F209" s="18"/>
      <c r="G209" s="61">
        <f>G11+G16+G30+G168+G180+G192</f>
        <v>237395139.91</v>
      </c>
      <c r="H209" s="61">
        <f>H11+H16+H30+H168+H180+H192</f>
        <v>31081831.799999997</v>
      </c>
      <c r="I209" s="61">
        <f>I11+I16+I30+I168+I180+I192</f>
        <v>0</v>
      </c>
      <c r="J209" s="61">
        <f>J11+J16+J30+J168+J180+J192</f>
        <v>29618022.210000001</v>
      </c>
    </row>
    <row r="210" spans="1:10" s="10" customFormat="1">
      <c r="A210" s="14"/>
      <c r="D210" s="302"/>
      <c r="E210" s="302"/>
      <c r="F210" s="75"/>
      <c r="H210" s="20"/>
      <c r="I210" s="1"/>
    </row>
    <row r="211" spans="1:10" ht="45.75" customHeight="1">
      <c r="A211" s="36"/>
      <c r="C211" s="1" t="s">
        <v>445</v>
      </c>
    </row>
    <row r="212" spans="1:10">
      <c r="H212" s="142"/>
      <c r="J212" s="142"/>
    </row>
    <row r="213" spans="1:10">
      <c r="G213" s="26"/>
      <c r="H213" s="26"/>
      <c r="I213" s="26"/>
      <c r="J213" s="26"/>
    </row>
    <row r="214" spans="1:10">
      <c r="G214" s="26"/>
      <c r="H214" s="26"/>
      <c r="I214" s="26"/>
      <c r="J214" s="26"/>
    </row>
    <row r="219" spans="1:10">
      <c r="E219" s="15" t="s">
        <v>446</v>
      </c>
    </row>
  </sheetData>
  <mergeCells count="68">
    <mergeCell ref="C202:C205"/>
    <mergeCell ref="D202:E202"/>
    <mergeCell ref="D193:E193"/>
    <mergeCell ref="D195:E195"/>
    <mergeCell ref="A196:A200"/>
    <mergeCell ref="B196:B200"/>
    <mergeCell ref="C196:C200"/>
    <mergeCell ref="D196:D200"/>
    <mergeCell ref="A19:A26"/>
    <mergeCell ref="B19:B26"/>
    <mergeCell ref="C19:C26"/>
    <mergeCell ref="D82:E82"/>
    <mergeCell ref="D83:D119"/>
    <mergeCell ref="A73:A79"/>
    <mergeCell ref="B32:B72"/>
    <mergeCell ref="C32:C72"/>
    <mergeCell ref="D32:D72"/>
    <mergeCell ref="A82:A122"/>
    <mergeCell ref="B82:B122"/>
    <mergeCell ref="C82:C122"/>
    <mergeCell ref="D11:E11"/>
    <mergeCell ref="D12:E12"/>
    <mergeCell ref="D16:E16"/>
    <mergeCell ref="D17:E17"/>
    <mergeCell ref="D30:E30"/>
    <mergeCell ref="D19:D25"/>
    <mergeCell ref="A6:I6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D210:E210"/>
    <mergeCell ref="D180:E180"/>
    <mergeCell ref="D181:E181"/>
    <mergeCell ref="D169:E169"/>
    <mergeCell ref="D123:E123"/>
    <mergeCell ref="D124:D128"/>
    <mergeCell ref="D168:E168"/>
    <mergeCell ref="D136:D167"/>
    <mergeCell ref="A192:E192"/>
    <mergeCell ref="D206:E206"/>
    <mergeCell ref="D207:E207"/>
    <mergeCell ref="A136:A167"/>
    <mergeCell ref="C136:C167"/>
    <mergeCell ref="B136:B167"/>
    <mergeCell ref="A202:A205"/>
    <mergeCell ref="B202:B205"/>
    <mergeCell ref="A170:A178"/>
    <mergeCell ref="B170:B178"/>
    <mergeCell ref="C170:C178"/>
    <mergeCell ref="D170:D178"/>
    <mergeCell ref="D31:E31"/>
    <mergeCell ref="C73:C79"/>
    <mergeCell ref="B73:B79"/>
    <mergeCell ref="D73:D79"/>
    <mergeCell ref="A129:A134"/>
    <mergeCell ref="B129:B134"/>
    <mergeCell ref="C129:C134"/>
    <mergeCell ref="D129:D134"/>
    <mergeCell ref="A124:A128"/>
    <mergeCell ref="B124:B128"/>
    <mergeCell ref="C124:C128"/>
    <mergeCell ref="A32:A72"/>
  </mergeCells>
  <pageMargins left="0.15748031496062992" right="0.15748031496062992" top="0.15748031496062992" bottom="0.11811023622047245" header="0.15748031496062992" footer="0.11811023622047245"/>
  <pageSetup paperSize="9" scale="62" fitToHeight="36" orientation="landscape" horizontalDpi="4294967293" r:id="rId1"/>
  <rowBreaks count="2" manualBreakCount="2">
    <brk id="18" max="9" man="1"/>
    <brk id="25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Q351"/>
  <sheetViews>
    <sheetView view="pageBreakPreview" topLeftCell="A25" zoomScale="70" zoomScaleNormal="80" zoomScaleSheetLayoutView="70" workbookViewId="0">
      <selection activeCell="C31" sqref="C31:E31"/>
    </sheetView>
  </sheetViews>
  <sheetFormatPr defaultRowHeight="18.75"/>
  <cols>
    <col min="1" max="1" width="17.140625" style="158" customWidth="1"/>
    <col min="2" max="2" width="14.85546875" style="1" customWidth="1"/>
    <col min="3" max="3" width="16.5703125" style="1" customWidth="1"/>
    <col min="4" max="4" width="41.140625" style="1" customWidth="1"/>
    <col min="5" max="5" width="51.28515625" style="15" customWidth="1"/>
    <col min="6" max="6" width="13.7109375" style="15" customWidth="1"/>
    <col min="7" max="7" width="21.5703125" style="170" customWidth="1"/>
    <col min="8" max="8" width="20.85546875" style="1" customWidth="1"/>
    <col min="9" max="9" width="19.42578125" style="1" customWidth="1"/>
    <col min="10" max="10" width="25.5703125" style="1" customWidth="1"/>
    <col min="11" max="11" width="24" style="1" customWidth="1"/>
    <col min="12" max="12" width="18.42578125" style="170" bestFit="1" customWidth="1"/>
    <col min="13" max="16384" width="9.140625" style="1"/>
  </cols>
  <sheetData>
    <row r="1" spans="1:14">
      <c r="A1" s="29" t="s">
        <v>457</v>
      </c>
      <c r="D1" s="184"/>
      <c r="G1" s="1"/>
      <c r="H1" s="16" t="s">
        <v>136</v>
      </c>
      <c r="I1" s="16"/>
    </row>
    <row r="2" spans="1:14">
      <c r="A2" s="29" t="s">
        <v>458</v>
      </c>
      <c r="D2" s="184"/>
      <c r="G2" s="1"/>
      <c r="H2" s="16" t="s">
        <v>135</v>
      </c>
      <c r="I2" s="8"/>
    </row>
    <row r="3" spans="1:14">
      <c r="A3" s="29"/>
      <c r="D3" s="184"/>
      <c r="G3" s="1"/>
      <c r="H3" s="16" t="s">
        <v>70</v>
      </c>
      <c r="I3" s="8"/>
    </row>
    <row r="4" spans="1:14">
      <c r="A4" s="29"/>
      <c r="D4" s="184"/>
      <c r="G4" s="1"/>
      <c r="H4" s="17" t="s">
        <v>137</v>
      </c>
    </row>
    <row r="5" spans="1:14" s="4" customFormat="1" ht="20.25">
      <c r="A5" s="294" t="s">
        <v>138</v>
      </c>
      <c r="B5" s="294"/>
      <c r="C5" s="294"/>
      <c r="D5" s="294"/>
      <c r="E5" s="294"/>
      <c r="F5" s="294"/>
      <c r="G5" s="294"/>
      <c r="H5" s="294"/>
      <c r="I5" s="294"/>
      <c r="J5" s="2"/>
      <c r="L5" s="171" t="s">
        <v>459</v>
      </c>
    </row>
    <row r="6" spans="1:14" s="4" customFormat="1" ht="20.25">
      <c r="A6" s="3"/>
      <c r="D6" s="2"/>
      <c r="E6" s="21"/>
      <c r="F6" s="21"/>
      <c r="G6" s="2"/>
      <c r="H6" s="2"/>
      <c r="I6" s="2"/>
      <c r="J6" s="48" t="s">
        <v>81</v>
      </c>
      <c r="L6" s="171"/>
    </row>
    <row r="7" spans="1:14">
      <c r="A7" s="295" t="s">
        <v>59</v>
      </c>
      <c r="B7" s="295" t="s">
        <v>60</v>
      </c>
      <c r="C7" s="295" t="s">
        <v>61</v>
      </c>
      <c r="D7" s="297" t="s">
        <v>62</v>
      </c>
      <c r="E7" s="298" t="s">
        <v>63</v>
      </c>
      <c r="F7" s="299" t="s">
        <v>64</v>
      </c>
      <c r="G7" s="297" t="s">
        <v>65</v>
      </c>
      <c r="H7" s="297" t="s">
        <v>66</v>
      </c>
      <c r="I7" s="297" t="s">
        <v>67</v>
      </c>
      <c r="J7" s="162" t="s">
        <v>2</v>
      </c>
    </row>
    <row r="8" spans="1:14" ht="150">
      <c r="A8" s="296"/>
      <c r="B8" s="296"/>
      <c r="C8" s="296"/>
      <c r="D8" s="297"/>
      <c r="E8" s="298"/>
      <c r="F8" s="300"/>
      <c r="G8" s="297"/>
      <c r="H8" s="297"/>
      <c r="I8" s="297"/>
      <c r="J8" s="162" t="s">
        <v>1</v>
      </c>
      <c r="L8" s="1"/>
    </row>
    <row r="9" spans="1:14">
      <c r="A9" s="187">
        <v>1</v>
      </c>
      <c r="B9" s="187">
        <v>2</v>
      </c>
      <c r="C9" s="187">
        <v>3</v>
      </c>
      <c r="D9" s="188">
        <v>4</v>
      </c>
      <c r="E9" s="188">
        <v>5</v>
      </c>
      <c r="F9" s="37">
        <v>6</v>
      </c>
      <c r="G9" s="188">
        <v>7</v>
      </c>
      <c r="H9" s="188">
        <v>8</v>
      </c>
      <c r="I9" s="188">
        <v>9</v>
      </c>
      <c r="J9" s="162">
        <v>10</v>
      </c>
      <c r="L9" s="1"/>
    </row>
    <row r="10" spans="1:14" s="10" customFormat="1">
      <c r="A10" s="5" t="s">
        <v>20</v>
      </c>
      <c r="B10" s="5"/>
      <c r="C10" s="5"/>
      <c r="D10" s="268" t="s">
        <v>76</v>
      </c>
      <c r="E10" s="269"/>
      <c r="F10" s="183"/>
      <c r="G10" s="80">
        <f>G11</f>
        <v>16625700</v>
      </c>
      <c r="H10" s="80">
        <f>H11</f>
        <v>16625700</v>
      </c>
      <c r="I10" s="31"/>
      <c r="J10" s="80">
        <f>J11</f>
        <v>16625700</v>
      </c>
      <c r="K10" s="179">
        <f>початковий!G10+'зміни квітень'!G11</f>
        <v>16625700</v>
      </c>
      <c r="L10" s="179">
        <f>початковий!H10+'зміни квітень'!H11</f>
        <v>16625700</v>
      </c>
      <c r="M10" s="179">
        <f>початковий!I10+'зміни квітень'!I11</f>
        <v>0</v>
      </c>
      <c r="N10" s="179">
        <f>початковий!J10+'зміни квітень'!J11</f>
        <v>16625700</v>
      </c>
    </row>
    <row r="11" spans="1:14" s="10" customFormat="1">
      <c r="A11" s="5" t="s">
        <v>21</v>
      </c>
      <c r="B11" s="5"/>
      <c r="C11" s="5"/>
      <c r="D11" s="268" t="s">
        <v>76</v>
      </c>
      <c r="E11" s="269"/>
      <c r="F11" s="157"/>
      <c r="G11" s="80">
        <f>G12+G13+G14+G15+G16</f>
        <v>16625700</v>
      </c>
      <c r="H11" s="80">
        <f>H12+H13+H14+H15+H16</f>
        <v>16625700</v>
      </c>
      <c r="I11" s="80"/>
      <c r="J11" s="80">
        <f>J12+J13+J14+J15+J16</f>
        <v>16625700</v>
      </c>
      <c r="K11" s="179">
        <f>G10-K10</f>
        <v>0</v>
      </c>
      <c r="L11" s="179">
        <f>H10-L10</f>
        <v>0</v>
      </c>
      <c r="M11" s="179">
        <f>I10-M10</f>
        <v>0</v>
      </c>
    </row>
    <row r="12" spans="1:14" ht="131.25">
      <c r="A12" s="6" t="s">
        <v>139</v>
      </c>
      <c r="B12" s="6" t="s">
        <v>140</v>
      </c>
      <c r="C12" s="6" t="s">
        <v>141</v>
      </c>
      <c r="D12" s="7" t="s">
        <v>142</v>
      </c>
      <c r="E12" s="22" t="s">
        <v>3</v>
      </c>
      <c r="F12" s="22" t="s">
        <v>68</v>
      </c>
      <c r="G12" s="81">
        <f>1587500-22000</f>
        <v>1565500</v>
      </c>
      <c r="H12" s="82">
        <f>1587500-22000</f>
        <v>1565500</v>
      </c>
      <c r="I12" s="32">
        <v>1</v>
      </c>
      <c r="J12" s="81">
        <f>1587500-22000</f>
        <v>1565500</v>
      </c>
      <c r="L12" s="1"/>
    </row>
    <row r="13" spans="1:14" ht="37.5">
      <c r="A13" s="6" t="s">
        <v>130</v>
      </c>
      <c r="B13" s="6" t="s">
        <v>131</v>
      </c>
      <c r="C13" s="6" t="s">
        <v>132</v>
      </c>
      <c r="D13" s="8" t="s">
        <v>133</v>
      </c>
      <c r="E13" s="22" t="s">
        <v>3</v>
      </c>
      <c r="F13" s="22" t="s">
        <v>68</v>
      </c>
      <c r="G13" s="81">
        <f>13237200+500000+100000</f>
        <v>13837200</v>
      </c>
      <c r="H13" s="82">
        <f>13237200+500000+100000</f>
        <v>13837200</v>
      </c>
      <c r="I13" s="32">
        <v>1</v>
      </c>
      <c r="J13" s="81">
        <f>13237200+500000+100000</f>
        <v>13837200</v>
      </c>
      <c r="L13" s="1"/>
    </row>
    <row r="14" spans="1:14" ht="37.5">
      <c r="A14" s="6" t="s">
        <v>126</v>
      </c>
      <c r="B14" s="6" t="s">
        <v>127</v>
      </c>
      <c r="C14" s="6" t="s">
        <v>128</v>
      </c>
      <c r="D14" s="7" t="s">
        <v>129</v>
      </c>
      <c r="E14" s="22" t="s">
        <v>3</v>
      </c>
      <c r="F14" s="22" t="s">
        <v>68</v>
      </c>
      <c r="G14" s="81">
        <f>550000+33000</f>
        <v>583000</v>
      </c>
      <c r="H14" s="82">
        <f>550000+33000</f>
        <v>583000</v>
      </c>
      <c r="I14" s="32">
        <v>1</v>
      </c>
      <c r="J14" s="81">
        <f>550000+33000</f>
        <v>583000</v>
      </c>
      <c r="L14" s="1"/>
    </row>
    <row r="15" spans="1:14" ht="37.5">
      <c r="A15" s="6" t="s">
        <v>22</v>
      </c>
      <c r="B15" s="6" t="s">
        <v>23</v>
      </c>
      <c r="C15" s="6" t="s">
        <v>8</v>
      </c>
      <c r="D15" s="7" t="s">
        <v>24</v>
      </c>
      <c r="E15" s="22" t="s">
        <v>460</v>
      </c>
      <c r="F15" s="22" t="s">
        <v>68</v>
      </c>
      <c r="G15" s="81">
        <f>140000+300000</f>
        <v>440000</v>
      </c>
      <c r="H15" s="82">
        <f>140000+300000</f>
        <v>440000</v>
      </c>
      <c r="I15" s="32">
        <v>1</v>
      </c>
      <c r="J15" s="81">
        <f>140000+300000</f>
        <v>440000</v>
      </c>
      <c r="L15" s="1"/>
    </row>
    <row r="16" spans="1:14" ht="44.25" customHeight="1">
      <c r="A16" s="6" t="s">
        <v>143</v>
      </c>
      <c r="B16" s="6" t="s">
        <v>144</v>
      </c>
      <c r="C16" s="6" t="s">
        <v>10</v>
      </c>
      <c r="D16" s="7" t="s">
        <v>145</v>
      </c>
      <c r="E16" s="22" t="s">
        <v>3</v>
      </c>
      <c r="F16" s="83" t="s">
        <v>68</v>
      </c>
      <c r="G16" s="81">
        <v>200000</v>
      </c>
      <c r="H16" s="82">
        <v>200000</v>
      </c>
      <c r="I16" s="32">
        <v>1</v>
      </c>
      <c r="J16" s="81">
        <v>200000</v>
      </c>
      <c r="L16" s="1"/>
    </row>
    <row r="17" spans="1:14">
      <c r="A17" s="5" t="s">
        <v>25</v>
      </c>
      <c r="B17" s="5"/>
      <c r="C17" s="5"/>
      <c r="D17" s="289" t="s">
        <v>14</v>
      </c>
      <c r="E17" s="290"/>
      <c r="F17" s="160"/>
      <c r="G17" s="84">
        <f>G18</f>
        <v>27613872.390000001</v>
      </c>
      <c r="H17" s="84">
        <f>H18</f>
        <v>27613872.390000001</v>
      </c>
      <c r="I17" s="33"/>
      <c r="J17" s="84">
        <f>J18</f>
        <v>26720914</v>
      </c>
      <c r="K17" s="142">
        <f>початковий!G17+'зміни квітень'!G16</f>
        <v>27613872.390000001</v>
      </c>
      <c r="L17" s="142">
        <f>початковий!H17+'зміни квітень'!H16</f>
        <v>27613872.390000001</v>
      </c>
      <c r="M17" s="142">
        <f>початковий!I17+'зміни квітень'!I16</f>
        <v>0</v>
      </c>
      <c r="N17" s="142">
        <f>початковий!J17+'зміни квітень'!J16</f>
        <v>26720914</v>
      </c>
    </row>
    <row r="18" spans="1:14">
      <c r="A18" s="5" t="s">
        <v>26</v>
      </c>
      <c r="B18" s="6"/>
      <c r="C18" s="6"/>
      <c r="D18" s="289" t="s">
        <v>14</v>
      </c>
      <c r="E18" s="290"/>
      <c r="F18" s="160"/>
      <c r="G18" s="84">
        <f>G19+G21+G29+G31+G32+G33</f>
        <v>27613872.390000001</v>
      </c>
      <c r="H18" s="84">
        <f>H19+H21+H29+H31+H32+H33</f>
        <v>27613872.390000001</v>
      </c>
      <c r="I18" s="33"/>
      <c r="J18" s="84">
        <f>J19+J21+J29+J31+J32+J33</f>
        <v>26720914</v>
      </c>
      <c r="K18" s="142">
        <f>K17-G17</f>
        <v>0</v>
      </c>
      <c r="L18" s="142">
        <f>L17-H17</f>
        <v>0</v>
      </c>
      <c r="M18" s="142">
        <f t="shared" ref="M18:N18" si="0">M17-I17</f>
        <v>0</v>
      </c>
      <c r="N18" s="142">
        <f t="shared" si="0"/>
        <v>0</v>
      </c>
    </row>
    <row r="19" spans="1:14">
      <c r="A19" s="271" t="s">
        <v>27</v>
      </c>
      <c r="B19" s="271" t="s">
        <v>15</v>
      </c>
      <c r="C19" s="271" t="s">
        <v>16</v>
      </c>
      <c r="D19" s="299" t="s">
        <v>28</v>
      </c>
      <c r="E19" s="22" t="s">
        <v>3</v>
      </c>
      <c r="F19" s="85" t="s">
        <v>68</v>
      </c>
      <c r="G19" s="81">
        <f>1500000+1000000+2500000+22958.39</f>
        <v>5022958.3899999997</v>
      </c>
      <c r="H19" s="82">
        <f>1500000+1000000+2500000+22958.39</f>
        <v>5022958.3899999997</v>
      </c>
      <c r="I19" s="32">
        <v>1</v>
      </c>
      <c r="J19" s="81">
        <f>1500000+1000000+2500000</f>
        <v>5000000</v>
      </c>
      <c r="L19" s="1"/>
    </row>
    <row r="20" spans="1:14" s="43" customFormat="1" ht="58.5">
      <c r="A20" s="273"/>
      <c r="B20" s="273"/>
      <c r="C20" s="273"/>
      <c r="D20" s="300"/>
      <c r="E20" s="42" t="s">
        <v>461</v>
      </c>
      <c r="F20" s="86"/>
      <c r="G20" s="57">
        <v>22958.39</v>
      </c>
      <c r="H20" s="180">
        <v>22958.39</v>
      </c>
      <c r="I20" s="89"/>
      <c r="J20" s="87"/>
    </row>
    <row r="21" spans="1:14" ht="30.75" customHeight="1">
      <c r="A21" s="271" t="s">
        <v>29</v>
      </c>
      <c r="B21" s="271" t="s">
        <v>17</v>
      </c>
      <c r="C21" s="271" t="s">
        <v>18</v>
      </c>
      <c r="D21" s="309" t="s">
        <v>19</v>
      </c>
      <c r="E21" s="22" t="s">
        <v>146</v>
      </c>
      <c r="F21" s="22" t="s">
        <v>68</v>
      </c>
      <c r="G21" s="81">
        <f>3000000+2000000+10000000+762500+12079</f>
        <v>15774579</v>
      </c>
      <c r="H21" s="82">
        <f>3000000+2000000+10000000+762500+12079</f>
        <v>15774579</v>
      </c>
      <c r="I21" s="32">
        <v>1</v>
      </c>
      <c r="J21" s="81">
        <f>3000000+2000000+10000000-107500+12079</f>
        <v>14904579</v>
      </c>
      <c r="L21" s="1"/>
    </row>
    <row r="22" spans="1:14" ht="31.5" customHeight="1">
      <c r="A22" s="272"/>
      <c r="B22" s="272"/>
      <c r="C22" s="272"/>
      <c r="D22" s="310"/>
      <c r="E22" s="42" t="s">
        <v>147</v>
      </c>
      <c r="F22" s="86"/>
      <c r="G22" s="87"/>
      <c r="H22" s="88"/>
      <c r="I22" s="89"/>
      <c r="J22" s="87"/>
      <c r="L22" s="1"/>
    </row>
    <row r="23" spans="1:14" ht="58.5" customHeight="1">
      <c r="A23" s="272"/>
      <c r="B23" s="272"/>
      <c r="C23" s="272"/>
      <c r="D23" s="310"/>
      <c r="E23" s="42" t="s">
        <v>148</v>
      </c>
      <c r="F23" s="42" t="s">
        <v>68</v>
      </c>
      <c r="G23" s="87">
        <f>10000000-1000000</f>
        <v>9000000</v>
      </c>
      <c r="H23" s="88">
        <f>10000000-1000000</f>
        <v>9000000</v>
      </c>
      <c r="I23" s="89">
        <v>1</v>
      </c>
      <c r="J23" s="87">
        <f>10000000-1000000</f>
        <v>9000000</v>
      </c>
      <c r="L23" s="1"/>
    </row>
    <row r="24" spans="1:14" ht="46.5" customHeight="1">
      <c r="A24" s="272"/>
      <c r="B24" s="272"/>
      <c r="C24" s="272"/>
      <c r="D24" s="310"/>
      <c r="E24" s="42" t="s">
        <v>464</v>
      </c>
      <c r="F24" s="42"/>
      <c r="G24" s="87">
        <v>1000000</v>
      </c>
      <c r="H24" s="88">
        <v>1000000</v>
      </c>
      <c r="I24" s="89"/>
      <c r="J24" s="87">
        <v>1000000</v>
      </c>
      <c r="L24" s="1"/>
    </row>
    <row r="25" spans="1:14" ht="46.5" customHeight="1">
      <c r="A25" s="272"/>
      <c r="B25" s="272"/>
      <c r="C25" s="272"/>
      <c r="D25" s="310"/>
      <c r="E25" s="42" t="s">
        <v>465</v>
      </c>
      <c r="F25" s="42" t="s">
        <v>68</v>
      </c>
      <c r="G25" s="87">
        <v>365500</v>
      </c>
      <c r="H25" s="88">
        <v>365500</v>
      </c>
      <c r="I25" s="89">
        <v>1</v>
      </c>
      <c r="J25" s="87">
        <v>365500</v>
      </c>
      <c r="L25" s="1"/>
    </row>
    <row r="26" spans="1:14" ht="200.25" customHeight="1">
      <c r="A26" s="272"/>
      <c r="B26" s="272"/>
      <c r="C26" s="272"/>
      <c r="D26" s="310"/>
      <c r="E26" s="42" t="s">
        <v>466</v>
      </c>
      <c r="F26" s="42" t="s">
        <v>68</v>
      </c>
      <c r="G26" s="87">
        <v>870000</v>
      </c>
      <c r="H26" s="88">
        <v>870000</v>
      </c>
      <c r="I26" s="89">
        <v>1</v>
      </c>
      <c r="J26" s="87"/>
      <c r="L26" s="1"/>
    </row>
    <row r="27" spans="1:14" ht="159" customHeight="1">
      <c r="A27" s="272"/>
      <c r="B27" s="272"/>
      <c r="C27" s="272"/>
      <c r="D27" s="310"/>
      <c r="E27" s="42" t="s">
        <v>462</v>
      </c>
      <c r="F27" s="42" t="s">
        <v>68</v>
      </c>
      <c r="G27" s="87">
        <v>927000</v>
      </c>
      <c r="H27" s="88">
        <v>927000</v>
      </c>
      <c r="I27" s="89"/>
      <c r="J27" s="87">
        <v>927000</v>
      </c>
      <c r="L27" s="1"/>
    </row>
    <row r="28" spans="1:14" ht="114.75" customHeight="1">
      <c r="A28" s="273"/>
      <c r="B28" s="273"/>
      <c r="C28" s="273"/>
      <c r="D28" s="311"/>
      <c r="E28" s="42" t="s">
        <v>467</v>
      </c>
      <c r="F28" s="42" t="s">
        <v>68</v>
      </c>
      <c r="G28" s="87">
        <v>12079</v>
      </c>
      <c r="H28" s="88">
        <v>12079</v>
      </c>
      <c r="I28" s="89"/>
      <c r="J28" s="87">
        <v>12079</v>
      </c>
      <c r="L28" s="1"/>
    </row>
    <row r="29" spans="1:14" ht="37.5" customHeight="1">
      <c r="A29" s="271" t="s">
        <v>149</v>
      </c>
      <c r="B29" s="271" t="s">
        <v>150</v>
      </c>
      <c r="C29" s="271" t="s">
        <v>151</v>
      </c>
      <c r="D29" s="309" t="s">
        <v>152</v>
      </c>
      <c r="E29" s="22" t="s">
        <v>3</v>
      </c>
      <c r="F29" s="22" t="s">
        <v>68</v>
      </c>
      <c r="G29" s="81">
        <f>300000+61735</f>
        <v>361735</v>
      </c>
      <c r="H29" s="82">
        <f>300000+61735</f>
        <v>361735</v>
      </c>
      <c r="I29" s="32">
        <v>1</v>
      </c>
      <c r="J29" s="81">
        <f>300000+61735</f>
        <v>361735</v>
      </c>
      <c r="L29" s="1"/>
    </row>
    <row r="30" spans="1:14" ht="129" customHeight="1">
      <c r="A30" s="273"/>
      <c r="B30" s="273"/>
      <c r="C30" s="273"/>
      <c r="D30" s="311"/>
      <c r="E30" s="181" t="s">
        <v>463</v>
      </c>
      <c r="F30" s="22"/>
      <c r="G30" s="81">
        <v>61735</v>
      </c>
      <c r="H30" s="82">
        <v>61735</v>
      </c>
      <c r="I30" s="32"/>
      <c r="J30" s="81">
        <v>61735</v>
      </c>
      <c r="L30" s="1"/>
    </row>
    <row r="31" spans="1:14" ht="99" customHeight="1">
      <c r="A31" s="159" t="s">
        <v>452</v>
      </c>
      <c r="B31" s="159" t="s">
        <v>454</v>
      </c>
      <c r="C31" s="159" t="s">
        <v>455</v>
      </c>
      <c r="D31" s="161" t="s">
        <v>453</v>
      </c>
      <c r="E31" s="22" t="s">
        <v>3</v>
      </c>
      <c r="F31" s="22" t="s">
        <v>68</v>
      </c>
      <c r="G31" s="81">
        <v>300000</v>
      </c>
      <c r="H31" s="82">
        <v>300000</v>
      </c>
      <c r="I31" s="32"/>
      <c r="J31" s="81">
        <v>300000</v>
      </c>
      <c r="L31" s="1"/>
    </row>
    <row r="32" spans="1:14" ht="99" customHeight="1">
      <c r="A32" s="159" t="s">
        <v>392</v>
      </c>
      <c r="B32" s="159" t="s">
        <v>393</v>
      </c>
      <c r="C32" s="159" t="s">
        <v>390</v>
      </c>
      <c r="D32" s="146" t="s">
        <v>394</v>
      </c>
      <c r="E32" s="22" t="s">
        <v>3</v>
      </c>
      <c r="F32" s="22" t="s">
        <v>68</v>
      </c>
      <c r="G32" s="81">
        <v>363000</v>
      </c>
      <c r="H32" s="82">
        <v>363000</v>
      </c>
      <c r="I32" s="32"/>
      <c r="J32" s="81">
        <v>363000</v>
      </c>
      <c r="L32" s="1"/>
    </row>
    <row r="33" spans="1:15" ht="57" customHeight="1">
      <c r="A33" s="6" t="s">
        <v>153</v>
      </c>
      <c r="B33" s="6" t="s">
        <v>154</v>
      </c>
      <c r="C33" s="6" t="s">
        <v>155</v>
      </c>
      <c r="D33" s="7" t="s">
        <v>156</v>
      </c>
      <c r="E33" s="22" t="s">
        <v>3</v>
      </c>
      <c r="F33" s="22" t="s">
        <v>68</v>
      </c>
      <c r="G33" s="81">
        <v>5791600</v>
      </c>
      <c r="H33" s="82">
        <v>5791600</v>
      </c>
      <c r="I33" s="34">
        <v>1</v>
      </c>
      <c r="J33" s="91">
        <v>5791600</v>
      </c>
      <c r="L33" s="1"/>
    </row>
    <row r="34" spans="1:15" s="10" customFormat="1" ht="38.25" customHeight="1">
      <c r="A34" s="5" t="s">
        <v>157</v>
      </c>
      <c r="B34" s="5"/>
      <c r="C34" s="5"/>
      <c r="D34" s="268" t="s">
        <v>158</v>
      </c>
      <c r="E34" s="269"/>
      <c r="F34" s="157"/>
      <c r="G34" s="84">
        <f>G35</f>
        <v>44000</v>
      </c>
      <c r="H34" s="84">
        <f>H35</f>
        <v>44000</v>
      </c>
      <c r="I34" s="33"/>
      <c r="J34" s="84">
        <f>J35</f>
        <v>44000</v>
      </c>
    </row>
    <row r="35" spans="1:15" s="10" customFormat="1" ht="39.75" customHeight="1">
      <c r="A35" s="5" t="s">
        <v>159</v>
      </c>
      <c r="B35" s="5"/>
      <c r="C35" s="5"/>
      <c r="D35" s="268" t="s">
        <v>158</v>
      </c>
      <c r="E35" s="269"/>
      <c r="F35" s="157"/>
      <c r="G35" s="84">
        <f>G36+G37</f>
        <v>44000</v>
      </c>
      <c r="H35" s="84">
        <f>H36+H37</f>
        <v>44000</v>
      </c>
      <c r="I35" s="33"/>
      <c r="J35" s="84">
        <f>J36+J37</f>
        <v>44000</v>
      </c>
    </row>
    <row r="36" spans="1:15" ht="93.75">
      <c r="A36" s="6" t="s">
        <v>160</v>
      </c>
      <c r="B36" s="6" t="s">
        <v>161</v>
      </c>
      <c r="C36" s="6" t="s">
        <v>141</v>
      </c>
      <c r="D36" s="7" t="s">
        <v>162</v>
      </c>
      <c r="E36" s="22" t="s">
        <v>3</v>
      </c>
      <c r="F36" s="22" t="s">
        <v>68</v>
      </c>
      <c r="G36" s="81">
        <v>32000</v>
      </c>
      <c r="H36" s="82">
        <v>32000</v>
      </c>
      <c r="I36" s="32">
        <v>1</v>
      </c>
      <c r="J36" s="81">
        <v>32000</v>
      </c>
      <c r="L36" s="1"/>
    </row>
    <row r="37" spans="1:15" ht="62.25" customHeight="1">
      <c r="A37" s="6" t="s">
        <v>163</v>
      </c>
      <c r="B37" s="6" t="s">
        <v>164</v>
      </c>
      <c r="C37" s="6" t="s">
        <v>165</v>
      </c>
      <c r="D37" s="11" t="s">
        <v>166</v>
      </c>
      <c r="E37" s="11" t="s">
        <v>3</v>
      </c>
      <c r="F37" s="11" t="s">
        <v>68</v>
      </c>
      <c r="G37" s="81">
        <v>12000</v>
      </c>
      <c r="H37" s="81">
        <v>12000</v>
      </c>
      <c r="I37" s="34">
        <v>1</v>
      </c>
      <c r="J37" s="81">
        <v>12000</v>
      </c>
      <c r="L37" s="1"/>
    </row>
    <row r="38" spans="1:15" s="10" customFormat="1">
      <c r="A38" s="5" t="s">
        <v>167</v>
      </c>
      <c r="B38" s="5"/>
      <c r="C38" s="5"/>
      <c r="D38" s="268" t="s">
        <v>168</v>
      </c>
      <c r="E38" s="269"/>
      <c r="F38" s="157"/>
      <c r="G38" s="84">
        <f>G39</f>
        <v>12287400</v>
      </c>
      <c r="H38" s="84">
        <f>H39</f>
        <v>3787400</v>
      </c>
      <c r="I38" s="33"/>
      <c r="J38" s="84">
        <f>J39</f>
        <v>3787400</v>
      </c>
    </row>
    <row r="39" spans="1:15" s="10" customFormat="1">
      <c r="A39" s="5" t="s">
        <v>169</v>
      </c>
      <c r="B39" s="5"/>
      <c r="C39" s="5"/>
      <c r="D39" s="268" t="s">
        <v>168</v>
      </c>
      <c r="E39" s="269"/>
      <c r="F39" s="157"/>
      <c r="G39" s="84">
        <f>G40+G41+G42+G43</f>
        <v>12287400</v>
      </c>
      <c r="H39" s="84">
        <f>H40+H41+H42+H43</f>
        <v>3787400</v>
      </c>
      <c r="I39" s="84"/>
      <c r="J39" s="84">
        <f>J40+J41+J42+J43</f>
        <v>3787400</v>
      </c>
    </row>
    <row r="40" spans="1:15" ht="37.5">
      <c r="A40" s="6" t="s">
        <v>170</v>
      </c>
      <c r="B40" s="6" t="s">
        <v>171</v>
      </c>
      <c r="C40" s="6" t="s">
        <v>172</v>
      </c>
      <c r="D40" s="7" t="s">
        <v>173</v>
      </c>
      <c r="E40" s="85" t="s">
        <v>3</v>
      </c>
      <c r="F40" s="85" t="s">
        <v>68</v>
      </c>
      <c r="G40" s="81">
        <v>1738200</v>
      </c>
      <c r="H40" s="82">
        <v>1738200</v>
      </c>
      <c r="I40" s="32">
        <v>1</v>
      </c>
      <c r="J40" s="81">
        <v>1738200</v>
      </c>
      <c r="L40" s="1"/>
    </row>
    <row r="41" spans="1:15" ht="37.5">
      <c r="A41" s="6" t="s">
        <v>174</v>
      </c>
      <c r="B41" s="6" t="s">
        <v>175</v>
      </c>
      <c r="C41" s="6" t="s">
        <v>172</v>
      </c>
      <c r="D41" s="7" t="s">
        <v>176</v>
      </c>
      <c r="E41" s="22" t="s">
        <v>3</v>
      </c>
      <c r="F41" s="22" t="s">
        <v>68</v>
      </c>
      <c r="G41" s="81">
        <v>94500</v>
      </c>
      <c r="H41" s="82">
        <v>94500</v>
      </c>
      <c r="I41" s="32">
        <v>1</v>
      </c>
      <c r="J41" s="81">
        <v>94500</v>
      </c>
      <c r="L41" s="1"/>
    </row>
    <row r="42" spans="1:15" ht="75">
      <c r="A42" s="6" t="s">
        <v>177</v>
      </c>
      <c r="B42" s="6" t="s">
        <v>178</v>
      </c>
      <c r="C42" s="6" t="s">
        <v>179</v>
      </c>
      <c r="D42" s="7" t="s">
        <v>180</v>
      </c>
      <c r="E42" s="22" t="s">
        <v>3</v>
      </c>
      <c r="F42" s="22" t="s">
        <v>68</v>
      </c>
      <c r="G42" s="81">
        <v>454700</v>
      </c>
      <c r="H42" s="82">
        <v>454700</v>
      </c>
      <c r="I42" s="32">
        <v>1</v>
      </c>
      <c r="J42" s="81">
        <v>454700</v>
      </c>
      <c r="L42" s="1"/>
    </row>
    <row r="43" spans="1:15" ht="56.25">
      <c r="A43" s="6" t="s">
        <v>181</v>
      </c>
      <c r="B43" s="6" t="s">
        <v>52</v>
      </c>
      <c r="C43" s="6" t="s">
        <v>10</v>
      </c>
      <c r="D43" s="7" t="s">
        <v>35</v>
      </c>
      <c r="E43" s="83" t="s">
        <v>182</v>
      </c>
      <c r="F43" s="83" t="s">
        <v>68</v>
      </c>
      <c r="G43" s="81">
        <v>10000000</v>
      </c>
      <c r="H43" s="82">
        <f>10000000-8500000</f>
        <v>1500000</v>
      </c>
      <c r="I43" s="32">
        <v>0.15</v>
      </c>
      <c r="J43" s="81">
        <f>10000000-8500000</f>
        <v>1500000</v>
      </c>
      <c r="L43" s="1"/>
    </row>
    <row r="44" spans="1:15" s="10" customFormat="1" ht="43.5" customHeight="1">
      <c r="A44" s="5" t="s">
        <v>183</v>
      </c>
      <c r="B44" s="5"/>
      <c r="C44" s="5"/>
      <c r="D44" s="268" t="s">
        <v>184</v>
      </c>
      <c r="E44" s="269"/>
      <c r="F44" s="157"/>
      <c r="G44" s="84">
        <f>G45</f>
        <v>10000</v>
      </c>
      <c r="H44" s="84">
        <f t="shared" ref="H44:J45" si="1">H45</f>
        <v>10000</v>
      </c>
      <c r="I44" s="33"/>
      <c r="J44" s="84">
        <f t="shared" si="1"/>
        <v>10000</v>
      </c>
    </row>
    <row r="45" spans="1:15" s="10" customFormat="1" ht="52.5" customHeight="1">
      <c r="A45" s="5" t="s">
        <v>185</v>
      </c>
      <c r="B45" s="5"/>
      <c r="C45" s="5"/>
      <c r="D45" s="268" t="s">
        <v>184</v>
      </c>
      <c r="E45" s="269"/>
      <c r="F45" s="157"/>
      <c r="G45" s="84">
        <f>G46</f>
        <v>10000</v>
      </c>
      <c r="H45" s="84">
        <f t="shared" si="1"/>
        <v>10000</v>
      </c>
      <c r="I45" s="33"/>
      <c r="J45" s="84">
        <f t="shared" si="1"/>
        <v>10000</v>
      </c>
    </row>
    <row r="46" spans="1:15" ht="93.75">
      <c r="A46" s="6" t="s">
        <v>186</v>
      </c>
      <c r="B46" s="6" t="s">
        <v>161</v>
      </c>
      <c r="C46" s="6" t="s">
        <v>141</v>
      </c>
      <c r="D46" s="7" t="s">
        <v>162</v>
      </c>
      <c r="E46" s="22" t="s">
        <v>3</v>
      </c>
      <c r="F46" s="22" t="s">
        <v>68</v>
      </c>
      <c r="G46" s="81">
        <v>10000</v>
      </c>
      <c r="H46" s="82">
        <v>10000</v>
      </c>
      <c r="I46" s="32">
        <v>1</v>
      </c>
      <c r="J46" s="81">
        <v>10000</v>
      </c>
      <c r="L46" s="1"/>
    </row>
    <row r="47" spans="1:15" s="10" customFormat="1" ht="49.5" customHeight="1">
      <c r="A47" s="5" t="s">
        <v>30</v>
      </c>
      <c r="B47" s="5"/>
      <c r="C47" s="5"/>
      <c r="D47" s="268" t="s">
        <v>6</v>
      </c>
      <c r="E47" s="269"/>
      <c r="F47" s="183"/>
      <c r="G47" s="84">
        <f>G48</f>
        <v>92733275.519999996</v>
      </c>
      <c r="H47" s="84">
        <f>H48</f>
        <v>97489507.409999996</v>
      </c>
      <c r="I47" s="33"/>
      <c r="J47" s="84">
        <f>J48</f>
        <v>82902008.210000008</v>
      </c>
      <c r="K47" s="179">
        <f>початковий!G38+'зміни квітень'!G30</f>
        <v>93683275.519999996</v>
      </c>
      <c r="L47" s="179">
        <f>початковий!H38+'зміни квітень'!H30</f>
        <v>97489507.409999996</v>
      </c>
      <c r="M47" s="179">
        <f>початковий!I38+'зміни квітень'!I30</f>
        <v>0</v>
      </c>
      <c r="N47" s="179">
        <f>початковий!J38+'зміни квітень'!J30</f>
        <v>82902008.210000008</v>
      </c>
      <c r="O47" s="179">
        <f>початковий!K38+'зміни квітень'!K30</f>
        <v>0</v>
      </c>
    </row>
    <row r="48" spans="1:15" s="10" customFormat="1" ht="48" customHeight="1">
      <c r="A48" s="5" t="s">
        <v>31</v>
      </c>
      <c r="B48" s="5"/>
      <c r="C48" s="5"/>
      <c r="D48" s="268" t="s">
        <v>6</v>
      </c>
      <c r="E48" s="269"/>
      <c r="F48" s="183"/>
      <c r="G48" s="84">
        <f>G49+G50+G110+G117+G120+G136+G137+G138+G206+G207+G215+G236+G237</f>
        <v>92733275.519999996</v>
      </c>
      <c r="H48" s="84">
        <f>H49+H50+H110+H117+H120+H136+H137+H138+H206+H207+H215+H236+H237</f>
        <v>97489507.409999996</v>
      </c>
      <c r="I48" s="84"/>
      <c r="J48" s="84">
        <f t="shared" ref="J48" si="2">J49+J50+J110+J117+J120+J136+J137+J138+J206+J207+J215+J236+J237</f>
        <v>82902008.210000008</v>
      </c>
      <c r="K48" s="179">
        <f>K47-G47</f>
        <v>950000</v>
      </c>
      <c r="L48" s="179">
        <f>L47-H47</f>
        <v>0</v>
      </c>
      <c r="M48" s="179">
        <f t="shared" ref="M48:N48" si="3">M47-I47</f>
        <v>0</v>
      </c>
      <c r="N48" s="179">
        <f t="shared" si="3"/>
        <v>0</v>
      </c>
    </row>
    <row r="49" spans="1:14" ht="93.75" customHeight="1">
      <c r="A49" s="6" t="s">
        <v>187</v>
      </c>
      <c r="B49" s="6" t="s">
        <v>161</v>
      </c>
      <c r="C49" s="6" t="s">
        <v>141</v>
      </c>
      <c r="D49" s="7" t="s">
        <v>162</v>
      </c>
      <c r="E49" s="22" t="s">
        <v>3</v>
      </c>
      <c r="F49" s="22" t="s">
        <v>68</v>
      </c>
      <c r="G49" s="81">
        <f>10000+4000</f>
        <v>14000</v>
      </c>
      <c r="H49" s="81">
        <f>10000+4000</f>
        <v>14000</v>
      </c>
      <c r="I49" s="34">
        <v>1</v>
      </c>
      <c r="J49" s="81">
        <f>10000+4000</f>
        <v>14000</v>
      </c>
      <c r="L49" s="1"/>
    </row>
    <row r="50" spans="1:14" ht="21" customHeight="1">
      <c r="A50" s="271" t="s">
        <v>37</v>
      </c>
      <c r="B50" s="271" t="s">
        <v>36</v>
      </c>
      <c r="C50" s="271" t="s">
        <v>7</v>
      </c>
      <c r="D50" s="283" t="s">
        <v>38</v>
      </c>
      <c r="E50" s="27" t="s">
        <v>55</v>
      </c>
      <c r="F50" s="27"/>
      <c r="G50" s="84">
        <f>G51+G104</f>
        <v>19103858.32</v>
      </c>
      <c r="H50" s="84">
        <f>H51+H104</f>
        <v>19103858.32</v>
      </c>
      <c r="I50" s="33"/>
      <c r="J50" s="84">
        <f>J51+J104</f>
        <v>17978808.32</v>
      </c>
      <c r="K50" s="142">
        <f>початковий!G41+'зміни квітень'!G32</f>
        <v>20053858.32</v>
      </c>
      <c r="L50" s="142">
        <f>початковий!H41+'зміни квітень'!H32</f>
        <v>19103858.32</v>
      </c>
      <c r="M50" s="142">
        <f>початковий!I41+'зміни квітень'!I32</f>
        <v>0</v>
      </c>
      <c r="N50" s="142">
        <f>початковий!J41+'зміни квітень'!J32</f>
        <v>17978808.32</v>
      </c>
    </row>
    <row r="51" spans="1:14" ht="93.75">
      <c r="A51" s="272"/>
      <c r="B51" s="272"/>
      <c r="C51" s="272"/>
      <c r="D51" s="284"/>
      <c r="E51" s="22" t="s">
        <v>74</v>
      </c>
      <c r="F51" s="22" t="s">
        <v>68</v>
      </c>
      <c r="G51" s="81">
        <f>G52+G53+G54+G55+G56+G57+G58+G59+G60+G61+G62+G63+G64+G65+G66+G67+G68+G69+G70+G71+G72+G73+G74+G75+G76+G77+G78+G79+G80+G81+G82+G83+G84+G85+G86+G87+G88+G89+G90+G91+G92+G93+G94+G95+G96+G97+G98+G99+G100+G101+G102+G103</f>
        <v>17103858.32</v>
      </c>
      <c r="H51" s="81">
        <f>H52+H53+H54+H55+H56+H57+H58+H59+H60+H61+H62+H63+H64+H65+H66+H67+H68+H69+H70+H71+H72+H73+H74+H75+H76+H77+H78+H79+H80+H81+H82+H83+H84+H85+H86+H87+H88+H89+H90+H91+H92+H93+H94+H95+H96+H97+H98+H99+H100+H101+H102+H103</f>
        <v>17103858.32</v>
      </c>
      <c r="I51" s="34">
        <v>1</v>
      </c>
      <c r="J51" s="81">
        <f>J52+J53+J54+J55+J56+J57+J58+J59+J60+J61+J62+J63+J64+J65+J66+J68+J69+J67+J70+J71+J72+J73+J74+J75+J76+J77+J78+J79+J81+J80+J82+J83+J84+J85+J86+J87+J88+J89+J90+J91+J92+J93+J94+J95+J96+J97+J98+J99+J100+J101+J102+J103</f>
        <v>15978808.32</v>
      </c>
      <c r="K51" s="142">
        <f>K50-G50</f>
        <v>950000</v>
      </c>
      <c r="L51" s="142">
        <f>L50-H50</f>
        <v>0</v>
      </c>
      <c r="M51" s="142">
        <f t="shared" ref="M51:N51" si="4">M50-I50</f>
        <v>0</v>
      </c>
      <c r="N51" s="142">
        <f t="shared" si="4"/>
        <v>0</v>
      </c>
    </row>
    <row r="52" spans="1:14" ht="57">
      <c r="A52" s="272"/>
      <c r="B52" s="272"/>
      <c r="C52" s="272"/>
      <c r="D52" s="284"/>
      <c r="E52" s="42" t="s">
        <v>469</v>
      </c>
      <c r="F52" s="42" t="s">
        <v>68</v>
      </c>
      <c r="G52" s="87">
        <v>670000</v>
      </c>
      <c r="H52" s="87">
        <v>670000</v>
      </c>
      <c r="I52" s="40">
        <v>1</v>
      </c>
      <c r="J52" s="87">
        <v>670000</v>
      </c>
      <c r="L52" s="1"/>
    </row>
    <row r="53" spans="1:14" ht="75">
      <c r="A53" s="272"/>
      <c r="B53" s="272"/>
      <c r="C53" s="272"/>
      <c r="D53" s="284"/>
      <c r="E53" s="42" t="s">
        <v>189</v>
      </c>
      <c r="F53" s="42" t="s">
        <v>68</v>
      </c>
      <c r="G53" s="87">
        <v>250000</v>
      </c>
      <c r="H53" s="87">
        <v>250000</v>
      </c>
      <c r="I53" s="40">
        <v>1</v>
      </c>
      <c r="J53" s="87">
        <v>250000</v>
      </c>
      <c r="L53" s="1"/>
    </row>
    <row r="54" spans="1:14" ht="75">
      <c r="A54" s="272"/>
      <c r="B54" s="272"/>
      <c r="C54" s="272"/>
      <c r="D54" s="284"/>
      <c r="E54" s="42" t="s">
        <v>190</v>
      </c>
      <c r="F54" s="42" t="s">
        <v>68</v>
      </c>
      <c r="G54" s="87">
        <v>300000</v>
      </c>
      <c r="H54" s="87">
        <v>300000</v>
      </c>
      <c r="I54" s="40">
        <v>1</v>
      </c>
      <c r="J54" s="87">
        <v>300000</v>
      </c>
      <c r="L54" s="1"/>
    </row>
    <row r="55" spans="1:14" ht="93.75">
      <c r="A55" s="272"/>
      <c r="B55" s="272"/>
      <c r="C55" s="272"/>
      <c r="D55" s="284"/>
      <c r="E55" s="62" t="s">
        <v>402</v>
      </c>
      <c r="F55" s="42" t="s">
        <v>68</v>
      </c>
      <c r="G55" s="57">
        <v>100000</v>
      </c>
      <c r="H55" s="57">
        <v>100000</v>
      </c>
      <c r="I55" s="40">
        <v>1</v>
      </c>
      <c r="J55" s="57">
        <v>100000</v>
      </c>
      <c r="L55" s="1"/>
    </row>
    <row r="56" spans="1:14" ht="75">
      <c r="A56" s="272"/>
      <c r="B56" s="272"/>
      <c r="C56" s="272"/>
      <c r="D56" s="284"/>
      <c r="E56" s="42" t="s">
        <v>405</v>
      </c>
      <c r="F56" s="42" t="s">
        <v>68</v>
      </c>
      <c r="G56" s="57">
        <v>120000</v>
      </c>
      <c r="H56" s="57">
        <v>120000</v>
      </c>
      <c r="I56" s="40">
        <v>1</v>
      </c>
      <c r="J56" s="57">
        <v>120000</v>
      </c>
      <c r="L56" s="1"/>
    </row>
    <row r="57" spans="1:14" ht="75">
      <c r="A57" s="272"/>
      <c r="B57" s="272"/>
      <c r="C57" s="272"/>
      <c r="D57" s="284"/>
      <c r="E57" s="42" t="s">
        <v>407</v>
      </c>
      <c r="F57" s="42" t="s">
        <v>68</v>
      </c>
      <c r="G57" s="57">
        <v>120000</v>
      </c>
      <c r="H57" s="57">
        <v>120000</v>
      </c>
      <c r="I57" s="40">
        <v>1</v>
      </c>
      <c r="J57" s="57">
        <v>120000</v>
      </c>
      <c r="L57" s="1"/>
    </row>
    <row r="58" spans="1:14" ht="75">
      <c r="A58" s="272"/>
      <c r="B58" s="272"/>
      <c r="C58" s="272"/>
      <c r="D58" s="284"/>
      <c r="E58" s="42" t="s">
        <v>406</v>
      </c>
      <c r="F58" s="42" t="s">
        <v>68</v>
      </c>
      <c r="G58" s="57">
        <v>80000</v>
      </c>
      <c r="H58" s="57">
        <v>80000</v>
      </c>
      <c r="I58" s="40">
        <v>1</v>
      </c>
      <c r="J58" s="57">
        <v>80000</v>
      </c>
      <c r="L58" s="1"/>
    </row>
    <row r="59" spans="1:14" ht="75">
      <c r="A59" s="272"/>
      <c r="B59" s="272"/>
      <c r="C59" s="272"/>
      <c r="D59" s="284"/>
      <c r="E59" s="42" t="s">
        <v>440</v>
      </c>
      <c r="F59" s="42" t="s">
        <v>68</v>
      </c>
      <c r="G59" s="57">
        <v>120000</v>
      </c>
      <c r="H59" s="57">
        <v>120000</v>
      </c>
      <c r="I59" s="40">
        <v>1</v>
      </c>
      <c r="J59" s="57">
        <v>120000</v>
      </c>
      <c r="L59" s="1"/>
    </row>
    <row r="60" spans="1:14" ht="75">
      <c r="A60" s="272"/>
      <c r="B60" s="272"/>
      <c r="C60" s="272"/>
      <c r="D60" s="284"/>
      <c r="E60" s="62" t="s">
        <v>400</v>
      </c>
      <c r="F60" s="42" t="s">
        <v>68</v>
      </c>
      <c r="G60" s="57">
        <v>200000</v>
      </c>
      <c r="H60" s="57">
        <v>200000</v>
      </c>
      <c r="I60" s="40">
        <v>1</v>
      </c>
      <c r="J60" s="57">
        <v>200000</v>
      </c>
      <c r="L60" s="1"/>
    </row>
    <row r="61" spans="1:14" ht="75">
      <c r="A61" s="272"/>
      <c r="B61" s="272"/>
      <c r="C61" s="272"/>
      <c r="D61" s="284"/>
      <c r="E61" s="42" t="s">
        <v>191</v>
      </c>
      <c r="F61" s="42" t="s">
        <v>68</v>
      </c>
      <c r="G61" s="87">
        <v>300000</v>
      </c>
      <c r="H61" s="87">
        <v>300000</v>
      </c>
      <c r="I61" s="40">
        <v>1</v>
      </c>
      <c r="J61" s="87">
        <v>300000</v>
      </c>
      <c r="L61" s="1"/>
    </row>
    <row r="62" spans="1:14" ht="75">
      <c r="A62" s="272"/>
      <c r="B62" s="272"/>
      <c r="C62" s="272"/>
      <c r="D62" s="284"/>
      <c r="E62" s="62" t="s">
        <v>404</v>
      </c>
      <c r="F62" s="42" t="s">
        <v>68</v>
      </c>
      <c r="G62" s="57">
        <v>267000</v>
      </c>
      <c r="H62" s="57">
        <v>267000</v>
      </c>
      <c r="I62" s="40">
        <v>1</v>
      </c>
      <c r="J62" s="57">
        <v>267000</v>
      </c>
      <c r="L62" s="1"/>
    </row>
    <row r="63" spans="1:14" ht="75">
      <c r="A63" s="272"/>
      <c r="B63" s="272"/>
      <c r="C63" s="272"/>
      <c r="D63" s="284"/>
      <c r="E63" s="42" t="s">
        <v>192</v>
      </c>
      <c r="F63" s="42" t="s">
        <v>68</v>
      </c>
      <c r="G63" s="87">
        <v>250000</v>
      </c>
      <c r="H63" s="87">
        <v>250000</v>
      </c>
      <c r="I63" s="40">
        <v>1</v>
      </c>
      <c r="J63" s="87">
        <v>250000</v>
      </c>
      <c r="L63" s="1"/>
    </row>
    <row r="64" spans="1:14" ht="75">
      <c r="A64" s="272"/>
      <c r="B64" s="272"/>
      <c r="C64" s="272"/>
      <c r="D64" s="284"/>
      <c r="E64" s="62" t="s">
        <v>408</v>
      </c>
      <c r="F64" s="42" t="s">
        <v>68</v>
      </c>
      <c r="G64" s="57">
        <v>100000</v>
      </c>
      <c r="H64" s="57">
        <v>100000</v>
      </c>
      <c r="I64" s="40">
        <v>1</v>
      </c>
      <c r="J64" s="57">
        <v>100000</v>
      </c>
      <c r="L64" s="1"/>
    </row>
    <row r="65" spans="1:12" ht="153">
      <c r="A65" s="272"/>
      <c r="B65" s="272"/>
      <c r="C65" s="272"/>
      <c r="D65" s="284"/>
      <c r="E65" s="62" t="s">
        <v>365</v>
      </c>
      <c r="F65" s="42" t="s">
        <v>68</v>
      </c>
      <c r="G65" s="57">
        <v>100000</v>
      </c>
      <c r="H65" s="57">
        <v>100000</v>
      </c>
      <c r="I65" s="40">
        <v>1</v>
      </c>
      <c r="J65" s="57"/>
      <c r="L65" s="1"/>
    </row>
    <row r="66" spans="1:12" ht="153">
      <c r="A66" s="272"/>
      <c r="B66" s="272"/>
      <c r="C66" s="272"/>
      <c r="D66" s="284"/>
      <c r="E66" s="62" t="s">
        <v>357</v>
      </c>
      <c r="F66" s="42" t="s">
        <v>68</v>
      </c>
      <c r="G66" s="57">
        <v>80000</v>
      </c>
      <c r="H66" s="57">
        <v>80000</v>
      </c>
      <c r="I66" s="40">
        <v>1</v>
      </c>
      <c r="J66" s="57">
        <v>80000</v>
      </c>
      <c r="L66" s="1"/>
    </row>
    <row r="67" spans="1:12" ht="152.25">
      <c r="A67" s="272"/>
      <c r="B67" s="272"/>
      <c r="C67" s="272"/>
      <c r="D67" s="284"/>
      <c r="E67" s="62" t="s">
        <v>366</v>
      </c>
      <c r="F67" s="42" t="s">
        <v>68</v>
      </c>
      <c r="G67" s="57">
        <v>100000</v>
      </c>
      <c r="H67" s="57">
        <v>100000</v>
      </c>
      <c r="I67" s="40">
        <v>1</v>
      </c>
      <c r="J67" s="57"/>
      <c r="L67" s="1"/>
    </row>
    <row r="68" spans="1:12" ht="171.75">
      <c r="A68" s="272"/>
      <c r="B68" s="272"/>
      <c r="C68" s="272"/>
      <c r="D68" s="284"/>
      <c r="E68" s="62" t="s">
        <v>356</v>
      </c>
      <c r="F68" s="42" t="s">
        <v>68</v>
      </c>
      <c r="G68" s="57">
        <v>270000</v>
      </c>
      <c r="H68" s="57">
        <v>270000</v>
      </c>
      <c r="I68" s="40">
        <v>1</v>
      </c>
      <c r="J68" s="57">
        <v>270000</v>
      </c>
      <c r="L68" s="1"/>
    </row>
    <row r="69" spans="1:12" ht="132">
      <c r="A69" s="272"/>
      <c r="B69" s="272"/>
      <c r="C69" s="272"/>
      <c r="D69" s="284"/>
      <c r="E69" s="62" t="s">
        <v>93</v>
      </c>
      <c r="F69" s="42" t="s">
        <v>68</v>
      </c>
      <c r="G69" s="57">
        <v>8100</v>
      </c>
      <c r="H69" s="57">
        <v>8100</v>
      </c>
      <c r="I69" s="40">
        <v>1</v>
      </c>
      <c r="J69" s="57">
        <v>8100</v>
      </c>
      <c r="L69" s="1"/>
    </row>
    <row r="70" spans="1:12" ht="153">
      <c r="A70" s="272"/>
      <c r="B70" s="272"/>
      <c r="C70" s="272"/>
      <c r="D70" s="284"/>
      <c r="E70" s="62" t="s">
        <v>355</v>
      </c>
      <c r="F70" s="42" t="s">
        <v>68</v>
      </c>
      <c r="G70" s="57">
        <v>120000</v>
      </c>
      <c r="H70" s="57">
        <v>120000</v>
      </c>
      <c r="I70" s="40">
        <v>1</v>
      </c>
      <c r="J70" s="57">
        <v>120000</v>
      </c>
      <c r="L70" s="1"/>
    </row>
    <row r="71" spans="1:12" ht="109.5" customHeight="1">
      <c r="A71" s="272"/>
      <c r="B71" s="272"/>
      <c r="C71" s="272"/>
      <c r="D71" s="284"/>
      <c r="E71" s="62" t="s">
        <v>92</v>
      </c>
      <c r="F71" s="42" t="s">
        <v>68</v>
      </c>
      <c r="G71" s="57">
        <v>3600</v>
      </c>
      <c r="H71" s="57">
        <v>3600</v>
      </c>
      <c r="I71" s="40">
        <v>1</v>
      </c>
      <c r="J71" s="57">
        <v>3600</v>
      </c>
      <c r="L71" s="1"/>
    </row>
    <row r="72" spans="1:12" ht="127.5" customHeight="1">
      <c r="A72" s="272"/>
      <c r="B72" s="272"/>
      <c r="C72" s="272"/>
      <c r="D72" s="284"/>
      <c r="E72" s="42" t="s">
        <v>439</v>
      </c>
      <c r="F72" s="42" t="s">
        <v>68</v>
      </c>
      <c r="G72" s="57">
        <v>190000</v>
      </c>
      <c r="H72" s="57">
        <v>190000</v>
      </c>
      <c r="I72" s="40">
        <v>1</v>
      </c>
      <c r="J72" s="57">
        <v>190000</v>
      </c>
      <c r="L72" s="1"/>
    </row>
    <row r="73" spans="1:12" ht="109.5" customHeight="1">
      <c r="A73" s="272"/>
      <c r="B73" s="272"/>
      <c r="C73" s="272"/>
      <c r="D73" s="284"/>
      <c r="E73" s="62" t="s">
        <v>91</v>
      </c>
      <c r="F73" s="42" t="s">
        <v>68</v>
      </c>
      <c r="G73" s="57">
        <v>5700</v>
      </c>
      <c r="H73" s="57">
        <v>5700</v>
      </c>
      <c r="I73" s="40">
        <v>1</v>
      </c>
      <c r="J73" s="57">
        <v>5700</v>
      </c>
      <c r="L73" s="1"/>
    </row>
    <row r="74" spans="1:12" ht="157.5" customHeight="1">
      <c r="A74" s="272"/>
      <c r="B74" s="272"/>
      <c r="C74" s="272"/>
      <c r="D74" s="284"/>
      <c r="E74" s="62" t="s">
        <v>367</v>
      </c>
      <c r="F74" s="42" t="s">
        <v>68</v>
      </c>
      <c r="G74" s="57">
        <v>395000</v>
      </c>
      <c r="H74" s="57">
        <v>395000</v>
      </c>
      <c r="I74" s="40">
        <v>1</v>
      </c>
      <c r="J74" s="57"/>
      <c r="L74" s="1"/>
    </row>
    <row r="75" spans="1:12" ht="138.75" customHeight="1">
      <c r="A75" s="272"/>
      <c r="B75" s="272"/>
      <c r="C75" s="272"/>
      <c r="D75" s="284"/>
      <c r="E75" s="62" t="s">
        <v>368</v>
      </c>
      <c r="F75" s="42" t="s">
        <v>68</v>
      </c>
      <c r="G75" s="57">
        <v>290000</v>
      </c>
      <c r="H75" s="57">
        <v>290000</v>
      </c>
      <c r="I75" s="40">
        <v>1</v>
      </c>
      <c r="J75" s="57"/>
      <c r="L75" s="1"/>
    </row>
    <row r="76" spans="1:12" ht="156" customHeight="1">
      <c r="A76" s="272"/>
      <c r="B76" s="272"/>
      <c r="C76" s="272"/>
      <c r="D76" s="284"/>
      <c r="E76" s="62" t="s">
        <v>363</v>
      </c>
      <c r="F76" s="42" t="s">
        <v>68</v>
      </c>
      <c r="G76" s="57">
        <v>50000</v>
      </c>
      <c r="H76" s="57">
        <v>50000</v>
      </c>
      <c r="I76" s="40">
        <v>1</v>
      </c>
      <c r="J76" s="57"/>
      <c r="L76" s="1"/>
    </row>
    <row r="77" spans="1:12" ht="156" customHeight="1">
      <c r="A77" s="272"/>
      <c r="B77" s="272"/>
      <c r="C77" s="272"/>
      <c r="D77" s="284"/>
      <c r="E77" s="62" t="s">
        <v>364</v>
      </c>
      <c r="F77" s="42" t="s">
        <v>68</v>
      </c>
      <c r="G77" s="57">
        <v>190000</v>
      </c>
      <c r="H77" s="57">
        <v>190000</v>
      </c>
      <c r="I77" s="40">
        <v>1</v>
      </c>
      <c r="J77" s="57"/>
      <c r="L77" s="1"/>
    </row>
    <row r="78" spans="1:12" ht="56.25">
      <c r="A78" s="272"/>
      <c r="B78" s="272"/>
      <c r="C78" s="272"/>
      <c r="D78" s="284"/>
      <c r="E78" s="42" t="s">
        <v>193</v>
      </c>
      <c r="F78" s="42" t="s">
        <v>68</v>
      </c>
      <c r="G78" s="87">
        <v>450000</v>
      </c>
      <c r="H78" s="87">
        <v>450000</v>
      </c>
      <c r="I78" s="40">
        <v>1</v>
      </c>
      <c r="J78" s="87">
        <v>450000</v>
      </c>
      <c r="L78" s="1"/>
    </row>
    <row r="79" spans="1:12" ht="56.25">
      <c r="A79" s="272"/>
      <c r="B79" s="272"/>
      <c r="C79" s="272"/>
      <c r="D79" s="284"/>
      <c r="E79" s="42" t="s">
        <v>194</v>
      </c>
      <c r="F79" s="42" t="s">
        <v>68</v>
      </c>
      <c r="G79" s="87">
        <f>620000+35000</f>
        <v>655000</v>
      </c>
      <c r="H79" s="87">
        <f>620000+35000</f>
        <v>655000</v>
      </c>
      <c r="I79" s="40">
        <v>1</v>
      </c>
      <c r="J79" s="87">
        <f>620000+35000</f>
        <v>655000</v>
      </c>
      <c r="L79" s="1"/>
    </row>
    <row r="80" spans="1:12" ht="56.25">
      <c r="A80" s="272"/>
      <c r="B80" s="272"/>
      <c r="C80" s="272"/>
      <c r="D80" s="284"/>
      <c r="E80" s="42" t="s">
        <v>195</v>
      </c>
      <c r="F80" s="42" t="s">
        <v>68</v>
      </c>
      <c r="G80" s="87">
        <v>750000</v>
      </c>
      <c r="H80" s="87">
        <v>750000</v>
      </c>
      <c r="I80" s="40">
        <v>1</v>
      </c>
      <c r="J80" s="87">
        <v>750000</v>
      </c>
      <c r="L80" s="1"/>
    </row>
    <row r="81" spans="1:12" ht="75">
      <c r="A81" s="272"/>
      <c r="B81" s="272"/>
      <c r="C81" s="272"/>
      <c r="D81" s="284"/>
      <c r="E81" s="62" t="s">
        <v>83</v>
      </c>
      <c r="F81" s="42" t="s">
        <v>68</v>
      </c>
      <c r="G81" s="57">
        <v>45800</v>
      </c>
      <c r="H81" s="57">
        <v>45800</v>
      </c>
      <c r="I81" s="40">
        <v>1</v>
      </c>
      <c r="J81" s="57">
        <v>45800</v>
      </c>
      <c r="L81" s="1"/>
    </row>
    <row r="82" spans="1:12" ht="56.25">
      <c r="A82" s="272"/>
      <c r="B82" s="272"/>
      <c r="C82" s="272"/>
      <c r="D82" s="284"/>
      <c r="E82" s="62" t="s">
        <v>398</v>
      </c>
      <c r="F82" s="42" t="s">
        <v>68</v>
      </c>
      <c r="G82" s="57">
        <v>600000</v>
      </c>
      <c r="H82" s="57">
        <v>600000</v>
      </c>
      <c r="I82" s="40">
        <v>1</v>
      </c>
      <c r="J82" s="57">
        <v>600000</v>
      </c>
      <c r="L82" s="1"/>
    </row>
    <row r="83" spans="1:12" ht="56.25">
      <c r="A83" s="272"/>
      <c r="B83" s="272"/>
      <c r="C83" s="272"/>
      <c r="D83" s="284"/>
      <c r="E83" s="42" t="s">
        <v>196</v>
      </c>
      <c r="F83" s="42" t="s">
        <v>68</v>
      </c>
      <c r="G83" s="87">
        <f>330000-35000</f>
        <v>295000</v>
      </c>
      <c r="H83" s="87">
        <f>330000-35000</f>
        <v>295000</v>
      </c>
      <c r="I83" s="40">
        <v>1</v>
      </c>
      <c r="J83" s="87">
        <f>330000-35000</f>
        <v>295000</v>
      </c>
      <c r="L83" s="1"/>
    </row>
    <row r="84" spans="1:12" ht="57" customHeight="1">
      <c r="A84" s="272"/>
      <c r="B84" s="272"/>
      <c r="C84" s="272"/>
      <c r="D84" s="284"/>
      <c r="E84" s="42" t="s">
        <v>197</v>
      </c>
      <c r="F84" s="42" t="s">
        <v>68</v>
      </c>
      <c r="G84" s="87">
        <v>780000</v>
      </c>
      <c r="H84" s="87">
        <v>780000</v>
      </c>
      <c r="I84" s="40">
        <v>1</v>
      </c>
      <c r="J84" s="87">
        <v>780000</v>
      </c>
      <c r="L84" s="1"/>
    </row>
    <row r="85" spans="1:12" ht="56.25" customHeight="1">
      <c r="A85" s="272"/>
      <c r="B85" s="272"/>
      <c r="C85" s="272"/>
      <c r="D85" s="284"/>
      <c r="E85" s="42" t="s">
        <v>198</v>
      </c>
      <c r="F85" s="42" t="s">
        <v>68</v>
      </c>
      <c r="G85" s="87">
        <v>750000</v>
      </c>
      <c r="H85" s="87">
        <v>750000</v>
      </c>
      <c r="I85" s="40">
        <v>1</v>
      </c>
      <c r="J85" s="87">
        <v>750000</v>
      </c>
      <c r="L85" s="1"/>
    </row>
    <row r="86" spans="1:12" ht="42" customHeight="1">
      <c r="A86" s="272"/>
      <c r="B86" s="272"/>
      <c r="C86" s="272"/>
      <c r="D86" s="284"/>
      <c r="E86" s="42" t="s">
        <v>199</v>
      </c>
      <c r="F86" s="42" t="s">
        <v>68</v>
      </c>
      <c r="G86" s="87">
        <v>1000000</v>
      </c>
      <c r="H86" s="87">
        <v>1000000</v>
      </c>
      <c r="I86" s="40">
        <v>1</v>
      </c>
      <c r="J86" s="87">
        <v>1000000</v>
      </c>
      <c r="L86" s="1"/>
    </row>
    <row r="87" spans="1:12" ht="42" customHeight="1">
      <c r="A87" s="272"/>
      <c r="B87" s="272"/>
      <c r="C87" s="272"/>
      <c r="D87" s="284"/>
      <c r="E87" s="42" t="s">
        <v>200</v>
      </c>
      <c r="F87" s="42" t="s">
        <v>68</v>
      </c>
      <c r="G87" s="87">
        <v>1000000</v>
      </c>
      <c r="H87" s="87">
        <v>1000000</v>
      </c>
      <c r="I87" s="40">
        <v>1</v>
      </c>
      <c r="J87" s="87">
        <v>1000000</v>
      </c>
      <c r="L87" s="1"/>
    </row>
    <row r="88" spans="1:12" ht="56.25">
      <c r="A88" s="272"/>
      <c r="B88" s="272"/>
      <c r="C88" s="272"/>
      <c r="D88" s="284"/>
      <c r="E88" s="42" t="s">
        <v>201</v>
      </c>
      <c r="F88" s="42" t="s">
        <v>68</v>
      </c>
      <c r="G88" s="87">
        <v>600000</v>
      </c>
      <c r="H88" s="87">
        <v>600000</v>
      </c>
      <c r="I88" s="40">
        <v>1</v>
      </c>
      <c r="J88" s="87">
        <v>600000</v>
      </c>
      <c r="L88" s="1"/>
    </row>
    <row r="89" spans="1:12" ht="38.25" customHeight="1">
      <c r="A89" s="272"/>
      <c r="B89" s="272"/>
      <c r="C89" s="272"/>
      <c r="D89" s="284"/>
      <c r="E89" s="42" t="s">
        <v>202</v>
      </c>
      <c r="F89" s="42" t="s">
        <v>68</v>
      </c>
      <c r="G89" s="87">
        <v>800000</v>
      </c>
      <c r="H89" s="87">
        <v>800000</v>
      </c>
      <c r="I89" s="40">
        <v>1</v>
      </c>
      <c r="J89" s="87">
        <v>800000</v>
      </c>
      <c r="L89" s="1"/>
    </row>
    <row r="90" spans="1:12" ht="84.75" customHeight="1">
      <c r="A90" s="272"/>
      <c r="B90" s="272"/>
      <c r="C90" s="272"/>
      <c r="D90" s="284"/>
      <c r="E90" s="62" t="s">
        <v>134</v>
      </c>
      <c r="F90" s="42" t="s">
        <v>68</v>
      </c>
      <c r="G90" s="57">
        <f>4000000-2800000</f>
        <v>1200000</v>
      </c>
      <c r="H90" s="57">
        <f>4000000-2800000</f>
        <v>1200000</v>
      </c>
      <c r="I90" s="40">
        <v>1</v>
      </c>
      <c r="J90" s="57">
        <f>4000000-2800000</f>
        <v>1200000</v>
      </c>
      <c r="L90" s="1"/>
    </row>
    <row r="91" spans="1:12" ht="84.75" customHeight="1">
      <c r="A91" s="272"/>
      <c r="B91" s="272"/>
      <c r="C91" s="272"/>
      <c r="D91" s="284"/>
      <c r="E91" s="62" t="s">
        <v>84</v>
      </c>
      <c r="F91" s="42" t="s">
        <v>68</v>
      </c>
      <c r="G91" s="57">
        <v>154987.51</v>
      </c>
      <c r="H91" s="57">
        <v>154987.51</v>
      </c>
      <c r="I91" s="40">
        <v>1</v>
      </c>
      <c r="J91" s="57">
        <v>154987.51</v>
      </c>
      <c r="L91" s="1"/>
    </row>
    <row r="92" spans="1:12" ht="105" customHeight="1">
      <c r="A92" s="272"/>
      <c r="B92" s="272"/>
      <c r="C92" s="272"/>
      <c r="D92" s="284"/>
      <c r="E92" s="62" t="s">
        <v>447</v>
      </c>
      <c r="F92" s="42" t="s">
        <v>68</v>
      </c>
      <c r="G92" s="57">
        <v>140000</v>
      </c>
      <c r="H92" s="57">
        <v>140000</v>
      </c>
      <c r="I92" s="40">
        <v>1</v>
      </c>
      <c r="J92" s="57">
        <v>140000</v>
      </c>
      <c r="L92" s="1"/>
    </row>
    <row r="93" spans="1:12" ht="105" customHeight="1">
      <c r="A93" s="272"/>
      <c r="B93" s="272"/>
      <c r="C93" s="272"/>
      <c r="D93" s="284"/>
      <c r="E93" s="62" t="s">
        <v>438</v>
      </c>
      <c r="F93" s="42" t="s">
        <v>68</v>
      </c>
      <c r="G93" s="57">
        <v>350000</v>
      </c>
      <c r="H93" s="57">
        <v>350000</v>
      </c>
      <c r="I93" s="40">
        <v>1</v>
      </c>
      <c r="J93" s="57">
        <v>350000</v>
      </c>
      <c r="L93" s="1"/>
    </row>
    <row r="94" spans="1:12" ht="84" customHeight="1">
      <c r="A94" s="272"/>
      <c r="B94" s="272"/>
      <c r="C94" s="272"/>
      <c r="D94" s="284"/>
      <c r="E94" s="62" t="s">
        <v>85</v>
      </c>
      <c r="F94" s="42" t="s">
        <v>68</v>
      </c>
      <c r="G94" s="57">
        <v>294404.33</v>
      </c>
      <c r="H94" s="57">
        <v>294404.33</v>
      </c>
      <c r="I94" s="40">
        <v>1</v>
      </c>
      <c r="J94" s="57">
        <v>294404.33</v>
      </c>
      <c r="L94" s="1"/>
    </row>
    <row r="95" spans="1:12" ht="84" customHeight="1">
      <c r="A95" s="272"/>
      <c r="B95" s="272"/>
      <c r="C95" s="272"/>
      <c r="D95" s="284"/>
      <c r="E95" s="62" t="s">
        <v>86</v>
      </c>
      <c r="F95" s="42" t="s">
        <v>68</v>
      </c>
      <c r="G95" s="57">
        <v>294404.33</v>
      </c>
      <c r="H95" s="57">
        <v>294404.33</v>
      </c>
      <c r="I95" s="40">
        <v>1</v>
      </c>
      <c r="J95" s="57">
        <v>294404.33</v>
      </c>
      <c r="L95" s="1"/>
    </row>
    <row r="96" spans="1:12" ht="84" customHeight="1">
      <c r="A96" s="272"/>
      <c r="B96" s="272"/>
      <c r="C96" s="272"/>
      <c r="D96" s="284"/>
      <c r="E96" s="62" t="s">
        <v>87</v>
      </c>
      <c r="F96" s="42" t="s">
        <v>68</v>
      </c>
      <c r="G96" s="57">
        <v>214210.51</v>
      </c>
      <c r="H96" s="57">
        <v>214210.51</v>
      </c>
      <c r="I96" s="40">
        <v>1</v>
      </c>
      <c r="J96" s="57">
        <v>214210.51</v>
      </c>
      <c r="L96" s="1"/>
    </row>
    <row r="97" spans="1:12" ht="84" customHeight="1">
      <c r="A97" s="272"/>
      <c r="B97" s="272"/>
      <c r="C97" s="272"/>
      <c r="D97" s="284"/>
      <c r="E97" s="62" t="s">
        <v>399</v>
      </c>
      <c r="F97" s="42" t="s">
        <v>68</v>
      </c>
      <c r="G97" s="57">
        <v>72000</v>
      </c>
      <c r="H97" s="57">
        <v>72000</v>
      </c>
      <c r="I97" s="40">
        <v>1</v>
      </c>
      <c r="J97" s="57">
        <v>72000</v>
      </c>
      <c r="L97" s="1"/>
    </row>
    <row r="98" spans="1:12" ht="84" customHeight="1">
      <c r="A98" s="272"/>
      <c r="B98" s="272"/>
      <c r="C98" s="272"/>
      <c r="D98" s="284"/>
      <c r="E98" s="62" t="s">
        <v>403</v>
      </c>
      <c r="F98" s="42" t="s">
        <v>68</v>
      </c>
      <c r="G98" s="57">
        <v>100000</v>
      </c>
      <c r="H98" s="57">
        <v>100000</v>
      </c>
      <c r="I98" s="40">
        <v>1</v>
      </c>
      <c r="J98" s="57">
        <v>100000</v>
      </c>
      <c r="L98" s="1"/>
    </row>
    <row r="99" spans="1:12" ht="84" customHeight="1">
      <c r="A99" s="272"/>
      <c r="B99" s="272"/>
      <c r="C99" s="272"/>
      <c r="D99" s="284"/>
      <c r="E99" s="62" t="s">
        <v>88</v>
      </c>
      <c r="F99" s="42" t="s">
        <v>68</v>
      </c>
      <c r="G99" s="57">
        <v>189927.18</v>
      </c>
      <c r="H99" s="57">
        <v>189927.18</v>
      </c>
      <c r="I99" s="40">
        <v>1</v>
      </c>
      <c r="J99" s="57">
        <v>189927.18</v>
      </c>
      <c r="L99" s="1"/>
    </row>
    <row r="100" spans="1:12" ht="84" customHeight="1">
      <c r="A100" s="272"/>
      <c r="B100" s="272"/>
      <c r="C100" s="272"/>
      <c r="D100" s="284"/>
      <c r="E100" s="62" t="s">
        <v>89</v>
      </c>
      <c r="F100" s="42" t="s">
        <v>68</v>
      </c>
      <c r="G100" s="57">
        <v>294404.33</v>
      </c>
      <c r="H100" s="57">
        <v>294404.33</v>
      </c>
      <c r="I100" s="40">
        <v>1</v>
      </c>
      <c r="J100" s="57">
        <v>294404.33</v>
      </c>
      <c r="L100" s="1"/>
    </row>
    <row r="101" spans="1:12" ht="84" customHeight="1">
      <c r="A101" s="272"/>
      <c r="B101" s="272"/>
      <c r="C101" s="272"/>
      <c r="D101" s="284"/>
      <c r="E101" s="62" t="s">
        <v>90</v>
      </c>
      <c r="F101" s="42" t="s">
        <v>68</v>
      </c>
      <c r="G101" s="57">
        <v>133923.13</v>
      </c>
      <c r="H101" s="57">
        <v>133923.13</v>
      </c>
      <c r="I101" s="40">
        <v>1</v>
      </c>
      <c r="J101" s="57">
        <v>133923.13</v>
      </c>
      <c r="L101" s="1"/>
    </row>
    <row r="102" spans="1:12" ht="84" customHeight="1">
      <c r="A102" s="272"/>
      <c r="B102" s="272"/>
      <c r="C102" s="272"/>
      <c r="D102" s="284"/>
      <c r="E102" s="62" t="s">
        <v>401</v>
      </c>
      <c r="F102" s="42" t="s">
        <v>68</v>
      </c>
      <c r="G102" s="57">
        <v>260297</v>
      </c>
      <c r="H102" s="57">
        <v>260297</v>
      </c>
      <c r="I102" s="40">
        <v>1</v>
      </c>
      <c r="J102" s="57">
        <v>260297</v>
      </c>
      <c r="L102" s="1"/>
    </row>
    <row r="103" spans="1:12" ht="111" customHeight="1">
      <c r="A103" s="272"/>
      <c r="B103" s="272"/>
      <c r="C103" s="272"/>
      <c r="D103" s="284"/>
      <c r="E103" s="42" t="s">
        <v>94</v>
      </c>
      <c r="F103" s="42" t="s">
        <v>68</v>
      </c>
      <c r="G103" s="57">
        <v>1000100</v>
      </c>
      <c r="H103" s="57">
        <v>1000100</v>
      </c>
      <c r="I103" s="40">
        <v>1</v>
      </c>
      <c r="J103" s="57">
        <f>1000100-50</f>
        <v>1000050</v>
      </c>
      <c r="L103" s="1"/>
    </row>
    <row r="104" spans="1:12" ht="212.25" customHeight="1">
      <c r="A104" s="273"/>
      <c r="B104" s="273"/>
      <c r="C104" s="273"/>
      <c r="D104" s="285"/>
      <c r="E104" s="22" t="s">
        <v>203</v>
      </c>
      <c r="F104" s="22" t="s">
        <v>68</v>
      </c>
      <c r="G104" s="81">
        <v>2000000</v>
      </c>
      <c r="H104" s="81">
        <v>2000000</v>
      </c>
      <c r="I104" s="34">
        <v>1</v>
      </c>
      <c r="J104" s="81">
        <v>2000000</v>
      </c>
      <c r="L104" s="1" t="s">
        <v>468</v>
      </c>
    </row>
    <row r="105" spans="1:12" s="170" customFormat="1" ht="41.25" hidden="1" customHeight="1">
      <c r="A105" s="305" t="s">
        <v>40</v>
      </c>
      <c r="B105" s="305" t="s">
        <v>39</v>
      </c>
      <c r="C105" s="305" t="s">
        <v>8</v>
      </c>
      <c r="D105" s="307" t="s">
        <v>41</v>
      </c>
      <c r="E105" s="177" t="s">
        <v>204</v>
      </c>
      <c r="F105" s="177" t="s">
        <v>68</v>
      </c>
      <c r="G105" s="81">
        <f>G106+G107+G108+G109</f>
        <v>0</v>
      </c>
      <c r="H105" s="173">
        <v>0</v>
      </c>
      <c r="I105" s="173"/>
      <c r="J105" s="173">
        <f t="shared" ref="J105" si="5">J106+J107+J108+J109</f>
        <v>0</v>
      </c>
    </row>
    <row r="106" spans="1:12" s="170" customFormat="1" ht="94.5" hidden="1">
      <c r="A106" s="306"/>
      <c r="B106" s="306"/>
      <c r="C106" s="306"/>
      <c r="D106" s="308"/>
      <c r="E106" s="178" t="s">
        <v>205</v>
      </c>
      <c r="F106" s="174" t="s">
        <v>68</v>
      </c>
      <c r="G106" s="88">
        <v>0</v>
      </c>
      <c r="H106" s="175">
        <v>0</v>
      </c>
      <c r="I106" s="176">
        <v>1</v>
      </c>
      <c r="J106" s="175">
        <v>0</v>
      </c>
    </row>
    <row r="107" spans="1:12" s="170" customFormat="1" ht="94.5" hidden="1">
      <c r="A107" s="306"/>
      <c r="B107" s="306"/>
      <c r="C107" s="306"/>
      <c r="D107" s="308"/>
      <c r="E107" s="178" t="s">
        <v>206</v>
      </c>
      <c r="F107" s="174" t="s">
        <v>68</v>
      </c>
      <c r="G107" s="88">
        <v>0</v>
      </c>
      <c r="H107" s="175">
        <v>0</v>
      </c>
      <c r="I107" s="176">
        <v>1</v>
      </c>
      <c r="J107" s="175">
        <v>0</v>
      </c>
    </row>
    <row r="108" spans="1:12" s="170" customFormat="1" ht="94.5" hidden="1">
      <c r="A108" s="306"/>
      <c r="B108" s="306"/>
      <c r="C108" s="306"/>
      <c r="D108" s="308"/>
      <c r="E108" s="178" t="s">
        <v>207</v>
      </c>
      <c r="F108" s="174" t="s">
        <v>68</v>
      </c>
      <c r="G108" s="88">
        <v>0</v>
      </c>
      <c r="H108" s="175">
        <v>0</v>
      </c>
      <c r="I108" s="176">
        <v>1</v>
      </c>
      <c r="J108" s="175">
        <v>0</v>
      </c>
    </row>
    <row r="109" spans="1:12" s="170" customFormat="1" ht="94.5" hidden="1">
      <c r="A109" s="306"/>
      <c r="B109" s="306"/>
      <c r="C109" s="306"/>
      <c r="D109" s="308"/>
      <c r="E109" s="178" t="s">
        <v>208</v>
      </c>
      <c r="F109" s="174" t="s">
        <v>68</v>
      </c>
      <c r="G109" s="88">
        <v>0</v>
      </c>
      <c r="H109" s="175">
        <v>0</v>
      </c>
      <c r="I109" s="176">
        <v>1</v>
      </c>
      <c r="J109" s="175">
        <v>0</v>
      </c>
    </row>
    <row r="110" spans="1:12">
      <c r="A110" s="272" t="s">
        <v>40</v>
      </c>
      <c r="B110" s="272" t="s">
        <v>39</v>
      </c>
      <c r="C110" s="272" t="s">
        <v>8</v>
      </c>
      <c r="D110" s="301" t="s">
        <v>41</v>
      </c>
      <c r="E110" s="129" t="s">
        <v>55</v>
      </c>
      <c r="F110" s="42"/>
      <c r="G110" s="88">
        <f>G111</f>
        <v>5629200</v>
      </c>
      <c r="H110" s="88">
        <f t="shared" ref="H110:J110" si="6">H111</f>
        <v>5629200</v>
      </c>
      <c r="I110" s="88"/>
      <c r="J110" s="88">
        <f t="shared" si="6"/>
        <v>5629200</v>
      </c>
      <c r="L110" s="1"/>
    </row>
    <row r="111" spans="1:12" ht="37.5">
      <c r="A111" s="272"/>
      <c r="B111" s="272"/>
      <c r="C111" s="272"/>
      <c r="D111" s="301"/>
      <c r="E111" s="92" t="s">
        <v>204</v>
      </c>
      <c r="F111" s="42"/>
      <c r="G111" s="88">
        <f>G112+G113+G114+G115+G116</f>
        <v>5629200</v>
      </c>
      <c r="H111" s="88">
        <f>H112+H113+H114+H115+H116</f>
        <v>5629200</v>
      </c>
      <c r="I111" s="88"/>
      <c r="J111" s="88">
        <f>J112+J113+J114+J115+J116</f>
        <v>5629200</v>
      </c>
      <c r="L111" s="1"/>
    </row>
    <row r="112" spans="1:12" ht="94.5">
      <c r="A112" s="272"/>
      <c r="B112" s="272"/>
      <c r="C112" s="272"/>
      <c r="D112" s="301"/>
      <c r="E112" s="93" t="s">
        <v>205</v>
      </c>
      <c r="F112" s="42"/>
      <c r="G112" s="88">
        <v>425000</v>
      </c>
      <c r="H112" s="88">
        <v>425000</v>
      </c>
      <c r="I112" s="40">
        <v>1</v>
      </c>
      <c r="J112" s="88">
        <v>425000</v>
      </c>
      <c r="L112" s="1"/>
    </row>
    <row r="113" spans="1:12" ht="18.75" customHeight="1">
      <c r="A113" s="272"/>
      <c r="B113" s="272"/>
      <c r="C113" s="272"/>
      <c r="D113" s="301"/>
      <c r="E113" s="93" t="s">
        <v>206</v>
      </c>
      <c r="F113" s="42"/>
      <c r="G113" s="88">
        <v>1500000</v>
      </c>
      <c r="H113" s="88">
        <v>1500000</v>
      </c>
      <c r="I113" s="40">
        <v>1</v>
      </c>
      <c r="J113" s="88">
        <v>1500000</v>
      </c>
      <c r="L113" s="1"/>
    </row>
    <row r="114" spans="1:12" ht="94.5">
      <c r="A114" s="272"/>
      <c r="B114" s="272"/>
      <c r="C114" s="272"/>
      <c r="D114" s="301"/>
      <c r="E114" s="93" t="s">
        <v>207</v>
      </c>
      <c r="F114" s="42"/>
      <c r="G114" s="88">
        <v>750000</v>
      </c>
      <c r="H114" s="88">
        <v>750000</v>
      </c>
      <c r="I114" s="40">
        <v>1</v>
      </c>
      <c r="J114" s="88">
        <v>750000</v>
      </c>
      <c r="L114" s="1"/>
    </row>
    <row r="115" spans="1:12" ht="94.5">
      <c r="A115" s="272"/>
      <c r="B115" s="272"/>
      <c r="C115" s="272"/>
      <c r="D115" s="301"/>
      <c r="E115" s="93" t="s">
        <v>208</v>
      </c>
      <c r="F115" s="42"/>
      <c r="G115" s="88">
        <v>825000</v>
      </c>
      <c r="H115" s="88">
        <v>825000</v>
      </c>
      <c r="I115" s="40">
        <v>1</v>
      </c>
      <c r="J115" s="88">
        <v>825000</v>
      </c>
      <c r="L115" s="1"/>
    </row>
    <row r="116" spans="1:12" ht="37.5">
      <c r="A116" s="273"/>
      <c r="B116" s="273"/>
      <c r="C116" s="273"/>
      <c r="D116" s="300"/>
      <c r="E116" s="94" t="s">
        <v>431</v>
      </c>
      <c r="F116" s="94"/>
      <c r="G116" s="57">
        <v>2129200</v>
      </c>
      <c r="H116" s="57">
        <v>2129200</v>
      </c>
      <c r="I116" s="40">
        <v>1</v>
      </c>
      <c r="J116" s="57">
        <v>2129200</v>
      </c>
      <c r="L116" s="1"/>
    </row>
    <row r="117" spans="1:12" ht="54.75" customHeight="1">
      <c r="A117" s="271" t="s">
        <v>209</v>
      </c>
      <c r="B117" s="271" t="s">
        <v>210</v>
      </c>
      <c r="C117" s="271" t="s">
        <v>8</v>
      </c>
      <c r="D117" s="283" t="s">
        <v>211</v>
      </c>
      <c r="E117" s="22" t="s">
        <v>212</v>
      </c>
      <c r="F117" s="22" t="s">
        <v>68</v>
      </c>
      <c r="G117" s="81">
        <v>2000000</v>
      </c>
      <c r="H117" s="81">
        <v>2000000</v>
      </c>
      <c r="I117" s="34">
        <v>1</v>
      </c>
      <c r="J117" s="81">
        <v>2000000</v>
      </c>
      <c r="L117" s="1"/>
    </row>
    <row r="118" spans="1:12" ht="66.75" customHeight="1">
      <c r="A118" s="272"/>
      <c r="B118" s="272"/>
      <c r="C118" s="272"/>
      <c r="D118" s="284"/>
      <c r="E118" s="94" t="s">
        <v>213</v>
      </c>
      <c r="F118" s="42" t="s">
        <v>68</v>
      </c>
      <c r="G118" s="87">
        <v>104900</v>
      </c>
      <c r="H118" s="87">
        <v>104900</v>
      </c>
      <c r="I118" s="40">
        <v>1</v>
      </c>
      <c r="J118" s="87">
        <v>104900</v>
      </c>
      <c r="L118" s="1"/>
    </row>
    <row r="119" spans="1:12" ht="93.75">
      <c r="A119" s="272"/>
      <c r="B119" s="273"/>
      <c r="C119" s="273"/>
      <c r="D119" s="285"/>
      <c r="E119" s="94" t="s">
        <v>214</v>
      </c>
      <c r="F119" s="42" t="s">
        <v>68</v>
      </c>
      <c r="G119" s="87">
        <v>1895100</v>
      </c>
      <c r="H119" s="87">
        <v>1895100</v>
      </c>
      <c r="I119" s="40">
        <v>1</v>
      </c>
      <c r="J119" s="87">
        <v>1895100</v>
      </c>
      <c r="L119" s="1"/>
    </row>
    <row r="120" spans="1:12" ht="22.5" customHeight="1">
      <c r="A120" s="271" t="s">
        <v>215</v>
      </c>
      <c r="B120" s="271" t="s">
        <v>216</v>
      </c>
      <c r="C120" s="271" t="s">
        <v>8</v>
      </c>
      <c r="D120" s="283" t="s">
        <v>217</v>
      </c>
      <c r="E120" s="23" t="s">
        <v>218</v>
      </c>
      <c r="F120" s="23" t="s">
        <v>68</v>
      </c>
      <c r="G120" s="81">
        <f>G121+G122+G123+G124+G125+G126+G127+G128+G129+G130+G131+G132+G133+G134+G135</f>
        <v>10180000</v>
      </c>
      <c r="H120" s="81">
        <f t="shared" ref="H120:J120" si="7">H121+H122+H123+H124+H125+H126+H127+H128+H129+H130+H131+H132+H133+H134+H135</f>
        <v>10180000</v>
      </c>
      <c r="I120" s="40">
        <v>1</v>
      </c>
      <c r="J120" s="81">
        <f t="shared" si="7"/>
        <v>10180000</v>
      </c>
      <c r="K120" s="182">
        <f>початковий!G67+'зміни квітень'!G80</f>
        <v>10180000</v>
      </c>
      <c r="L120" s="182">
        <f>початковий!H67+'зміни квітень'!H80</f>
        <v>10180000</v>
      </c>
    </row>
    <row r="121" spans="1:12" ht="37.5">
      <c r="A121" s="272"/>
      <c r="B121" s="272"/>
      <c r="C121" s="272"/>
      <c r="D121" s="284"/>
      <c r="E121" s="94" t="s">
        <v>219</v>
      </c>
      <c r="F121" s="94" t="s">
        <v>68</v>
      </c>
      <c r="G121" s="87">
        <v>370000</v>
      </c>
      <c r="H121" s="87">
        <v>370000</v>
      </c>
      <c r="I121" s="40">
        <v>1</v>
      </c>
      <c r="J121" s="87">
        <v>370000</v>
      </c>
      <c r="K121" s="182">
        <f>K120-G120</f>
        <v>0</v>
      </c>
      <c r="L121" s="182">
        <f>L120-H120</f>
        <v>0</v>
      </c>
    </row>
    <row r="122" spans="1:12" ht="37.5">
      <c r="A122" s="272"/>
      <c r="B122" s="272"/>
      <c r="C122" s="272"/>
      <c r="D122" s="284"/>
      <c r="E122" s="94" t="s">
        <v>220</v>
      </c>
      <c r="F122" s="94" t="s">
        <v>68</v>
      </c>
      <c r="G122" s="87">
        <v>370000</v>
      </c>
      <c r="H122" s="87">
        <v>370000</v>
      </c>
      <c r="I122" s="40">
        <v>1</v>
      </c>
      <c r="J122" s="87">
        <v>370000</v>
      </c>
      <c r="L122" s="1"/>
    </row>
    <row r="123" spans="1:12" ht="56.25">
      <c r="A123" s="272"/>
      <c r="B123" s="272"/>
      <c r="C123" s="272"/>
      <c r="D123" s="284"/>
      <c r="E123" s="94" t="s">
        <v>221</v>
      </c>
      <c r="F123" s="94" t="s">
        <v>68</v>
      </c>
      <c r="G123" s="87">
        <v>650000</v>
      </c>
      <c r="H123" s="87">
        <v>650000</v>
      </c>
      <c r="I123" s="40">
        <v>1</v>
      </c>
      <c r="J123" s="87">
        <v>650000</v>
      </c>
      <c r="L123" s="1"/>
    </row>
    <row r="124" spans="1:12" ht="56.25">
      <c r="A124" s="272"/>
      <c r="B124" s="272"/>
      <c r="C124" s="272"/>
      <c r="D124" s="284"/>
      <c r="E124" s="94" t="s">
        <v>222</v>
      </c>
      <c r="F124" s="94" t="s">
        <v>68</v>
      </c>
      <c r="G124" s="87">
        <v>1480000</v>
      </c>
      <c r="H124" s="87">
        <v>1480000</v>
      </c>
      <c r="I124" s="40">
        <v>1</v>
      </c>
      <c r="J124" s="87">
        <v>1480000</v>
      </c>
      <c r="L124" s="1"/>
    </row>
    <row r="125" spans="1:12" ht="39" customHeight="1">
      <c r="A125" s="272"/>
      <c r="B125" s="272"/>
      <c r="C125" s="272"/>
      <c r="D125" s="284"/>
      <c r="E125" s="94" t="s">
        <v>223</v>
      </c>
      <c r="F125" s="94" t="s">
        <v>68</v>
      </c>
      <c r="G125" s="87">
        <v>1110000</v>
      </c>
      <c r="H125" s="87">
        <v>1110000</v>
      </c>
      <c r="I125" s="40">
        <v>1</v>
      </c>
      <c r="J125" s="87">
        <v>1110000</v>
      </c>
      <c r="L125" s="1"/>
    </row>
    <row r="126" spans="1:12" ht="56.25">
      <c r="A126" s="272"/>
      <c r="B126" s="272"/>
      <c r="C126" s="272"/>
      <c r="D126" s="284"/>
      <c r="E126" s="94" t="s">
        <v>224</v>
      </c>
      <c r="F126" s="94" t="s">
        <v>68</v>
      </c>
      <c r="G126" s="87">
        <v>1110000</v>
      </c>
      <c r="H126" s="87">
        <v>1110000</v>
      </c>
      <c r="I126" s="40">
        <v>1</v>
      </c>
      <c r="J126" s="87">
        <v>1110000</v>
      </c>
      <c r="L126" s="1"/>
    </row>
    <row r="127" spans="1:12" ht="37.5">
      <c r="A127" s="272"/>
      <c r="B127" s="272"/>
      <c r="C127" s="272"/>
      <c r="D127" s="284"/>
      <c r="E127" s="94" t="s">
        <v>225</v>
      </c>
      <c r="F127" s="94" t="s">
        <v>68</v>
      </c>
      <c r="G127" s="87">
        <v>740000</v>
      </c>
      <c r="H127" s="87">
        <v>740000</v>
      </c>
      <c r="I127" s="40">
        <v>1</v>
      </c>
      <c r="J127" s="87">
        <v>740000</v>
      </c>
      <c r="L127" s="1"/>
    </row>
    <row r="128" spans="1:12" ht="56.25">
      <c r="A128" s="272"/>
      <c r="B128" s="272"/>
      <c r="C128" s="272"/>
      <c r="D128" s="284"/>
      <c r="E128" s="92" t="s">
        <v>435</v>
      </c>
      <c r="F128" s="22" t="s">
        <v>68</v>
      </c>
      <c r="G128" s="82">
        <v>180000</v>
      </c>
      <c r="H128" s="82">
        <v>180000</v>
      </c>
      <c r="I128" s="34">
        <v>1</v>
      </c>
      <c r="J128" s="82">
        <v>180000</v>
      </c>
      <c r="L128" s="1"/>
    </row>
    <row r="129" spans="1:12" ht="56.25">
      <c r="A129" s="272"/>
      <c r="B129" s="272"/>
      <c r="C129" s="272"/>
      <c r="D129" s="284"/>
      <c r="E129" s="94" t="s">
        <v>226</v>
      </c>
      <c r="F129" s="94" t="s">
        <v>68</v>
      </c>
      <c r="G129" s="87">
        <v>650000</v>
      </c>
      <c r="H129" s="87">
        <v>650000</v>
      </c>
      <c r="I129" s="40">
        <v>1</v>
      </c>
      <c r="J129" s="87">
        <v>650000</v>
      </c>
      <c r="L129" s="1"/>
    </row>
    <row r="130" spans="1:12" ht="56.25">
      <c r="A130" s="272"/>
      <c r="B130" s="272"/>
      <c r="C130" s="272"/>
      <c r="D130" s="284"/>
      <c r="E130" s="94" t="s">
        <v>227</v>
      </c>
      <c r="F130" s="94" t="s">
        <v>68</v>
      </c>
      <c r="G130" s="87">
        <v>370000</v>
      </c>
      <c r="H130" s="87">
        <v>370000</v>
      </c>
      <c r="I130" s="40">
        <v>1</v>
      </c>
      <c r="J130" s="87">
        <v>370000</v>
      </c>
      <c r="L130" s="1"/>
    </row>
    <row r="131" spans="1:12" ht="37.5">
      <c r="A131" s="272"/>
      <c r="B131" s="272"/>
      <c r="C131" s="272"/>
      <c r="D131" s="284"/>
      <c r="E131" s="94" t="s">
        <v>228</v>
      </c>
      <c r="F131" s="94" t="s">
        <v>68</v>
      </c>
      <c r="G131" s="87">
        <v>370000</v>
      </c>
      <c r="H131" s="87">
        <v>370000</v>
      </c>
      <c r="I131" s="40">
        <v>1</v>
      </c>
      <c r="J131" s="87">
        <v>370000</v>
      </c>
      <c r="L131" s="1"/>
    </row>
    <row r="132" spans="1:12" ht="56.25">
      <c r="A132" s="272"/>
      <c r="B132" s="272"/>
      <c r="C132" s="272"/>
      <c r="D132" s="284"/>
      <c r="E132" s="94" t="s">
        <v>229</v>
      </c>
      <c r="F132" s="94" t="s">
        <v>68</v>
      </c>
      <c r="G132" s="87">
        <v>370000</v>
      </c>
      <c r="H132" s="87">
        <v>370000</v>
      </c>
      <c r="I132" s="40">
        <v>1</v>
      </c>
      <c r="J132" s="87">
        <v>370000</v>
      </c>
      <c r="L132" s="1"/>
    </row>
    <row r="133" spans="1:12" ht="37.5">
      <c r="A133" s="272"/>
      <c r="B133" s="272"/>
      <c r="C133" s="272"/>
      <c r="D133" s="284"/>
      <c r="E133" s="94" t="s">
        <v>230</v>
      </c>
      <c r="F133" s="94" t="s">
        <v>68</v>
      </c>
      <c r="G133" s="87">
        <v>650000</v>
      </c>
      <c r="H133" s="87">
        <v>650000</v>
      </c>
      <c r="I133" s="40">
        <v>1</v>
      </c>
      <c r="J133" s="87">
        <v>650000</v>
      </c>
      <c r="L133" s="1"/>
    </row>
    <row r="134" spans="1:12" ht="63.75" customHeight="1">
      <c r="A134" s="272"/>
      <c r="B134" s="272"/>
      <c r="C134" s="272"/>
      <c r="D134" s="284"/>
      <c r="E134" s="94" t="s">
        <v>231</v>
      </c>
      <c r="F134" s="94" t="s">
        <v>68</v>
      </c>
      <c r="G134" s="87">
        <v>650000</v>
      </c>
      <c r="H134" s="87">
        <v>650000</v>
      </c>
      <c r="I134" s="40">
        <v>1</v>
      </c>
      <c r="J134" s="87">
        <v>650000</v>
      </c>
      <c r="L134" s="1"/>
    </row>
    <row r="135" spans="1:12" ht="55.5" customHeight="1">
      <c r="A135" s="272"/>
      <c r="B135" s="272"/>
      <c r="C135" s="272"/>
      <c r="D135" s="284"/>
      <c r="E135" s="94" t="s">
        <v>232</v>
      </c>
      <c r="F135" s="94" t="s">
        <v>68</v>
      </c>
      <c r="G135" s="87">
        <v>1110000</v>
      </c>
      <c r="H135" s="87">
        <v>1110000</v>
      </c>
      <c r="I135" s="40">
        <v>1</v>
      </c>
      <c r="J135" s="87">
        <v>1110000</v>
      </c>
      <c r="L135" s="1"/>
    </row>
    <row r="136" spans="1:12" ht="57.75" customHeight="1">
      <c r="A136" s="30" t="s">
        <v>233</v>
      </c>
      <c r="B136" s="30" t="s">
        <v>234</v>
      </c>
      <c r="C136" s="30" t="s">
        <v>8</v>
      </c>
      <c r="D136" s="7" t="s">
        <v>235</v>
      </c>
      <c r="E136" s="7" t="s">
        <v>236</v>
      </c>
      <c r="F136" s="23" t="s">
        <v>68</v>
      </c>
      <c r="G136" s="81">
        <v>3175600</v>
      </c>
      <c r="H136" s="81">
        <v>3175600</v>
      </c>
      <c r="I136" s="34">
        <v>1</v>
      </c>
      <c r="J136" s="81">
        <v>3175600</v>
      </c>
      <c r="L136" s="1"/>
    </row>
    <row r="137" spans="1:12" ht="56.25">
      <c r="A137" s="30" t="s">
        <v>58</v>
      </c>
      <c r="B137" s="30" t="s">
        <v>57</v>
      </c>
      <c r="C137" s="30" t="s">
        <v>8</v>
      </c>
      <c r="D137" s="12" t="s">
        <v>56</v>
      </c>
      <c r="E137" s="23" t="s">
        <v>72</v>
      </c>
      <c r="F137" s="23" t="s">
        <v>68</v>
      </c>
      <c r="G137" s="81">
        <f>1340000+150000</f>
        <v>1490000</v>
      </c>
      <c r="H137" s="81">
        <f>1340000+150000</f>
        <v>1490000</v>
      </c>
      <c r="I137" s="34">
        <v>1</v>
      </c>
      <c r="J137" s="81">
        <f>1340000+150000</f>
        <v>1490000</v>
      </c>
      <c r="L137" s="1"/>
    </row>
    <row r="138" spans="1:12" s="170" customFormat="1" ht="30" customHeight="1">
      <c r="A138" s="271" t="s">
        <v>50</v>
      </c>
      <c r="B138" s="271" t="s">
        <v>23</v>
      </c>
      <c r="C138" s="271" t="s">
        <v>8</v>
      </c>
      <c r="D138" s="276" t="s">
        <v>73</v>
      </c>
      <c r="E138" s="277"/>
      <c r="F138" s="23" t="s">
        <v>68</v>
      </c>
      <c r="G138" s="81">
        <f>G139+G140+G141+G142+G148+G157+G158+G159+G160+G161+G162+G163+G164+G165+G166+G167+G168+G169+G170+G171+G172+G173+G174+G175+G176+G177+G178+G179+G180+G181+G182+G183+G184+G185+G186+G187+G188+G189+G190+G191+G192+G193+G194+G195+G196+G197+G198+G199+G200+G201+G202+G203+G204+G205</f>
        <v>24116633.199999999</v>
      </c>
      <c r="H138" s="81">
        <f t="shared" ref="H138:J138" si="8">H139+H140+H141+H142+H148+H157+H158+H159+H160+H161+H162+H163+H164+H165+H166+H167+H168+H169+H170+H171+H172+H173+H174+H175+H176+H177+H178+H179+H180+H181+H182+H183+H184+H185+H186+H187+H188+H189+H190+H191+H192+H193+H194+H195+H196+H197+H198+H199+H200+H201+H202+H203+H204+H205</f>
        <v>24116633.199999999</v>
      </c>
      <c r="I138" s="81">
        <v>100</v>
      </c>
      <c r="J138" s="81">
        <f t="shared" si="8"/>
        <v>18990468</v>
      </c>
      <c r="K138" s="190">
        <f>початковий!G84+'зміни квітень'!G82</f>
        <v>24116633.199999999</v>
      </c>
      <c r="L138" s="190">
        <f>початковий!H84+'зміни квітень'!H82</f>
        <v>24116633.199999999</v>
      </c>
    </row>
    <row r="139" spans="1:12" s="170" customFormat="1" ht="37.5" customHeight="1">
      <c r="A139" s="272"/>
      <c r="B139" s="272"/>
      <c r="C139" s="272"/>
      <c r="D139" s="299"/>
      <c r="E139" s="189" t="s">
        <v>237</v>
      </c>
      <c r="F139" s="23" t="s">
        <v>68</v>
      </c>
      <c r="G139" s="81">
        <f>400000-400000</f>
        <v>0</v>
      </c>
      <c r="H139" s="81">
        <f>400000-400000</f>
        <v>0</v>
      </c>
      <c r="I139" s="34"/>
      <c r="J139" s="81">
        <f>400000-400000</f>
        <v>0</v>
      </c>
      <c r="K139" s="190">
        <f>K138-G138</f>
        <v>0</v>
      </c>
      <c r="L139" s="190">
        <f>L138-H138</f>
        <v>0</v>
      </c>
    </row>
    <row r="140" spans="1:12" s="170" customFormat="1" ht="152.25" customHeight="1">
      <c r="A140" s="272"/>
      <c r="B140" s="272"/>
      <c r="C140" s="272"/>
      <c r="D140" s="301"/>
      <c r="E140" s="189" t="s">
        <v>358</v>
      </c>
      <c r="F140" s="23" t="s">
        <v>68</v>
      </c>
      <c r="G140" s="53">
        <v>195000</v>
      </c>
      <c r="H140" s="53">
        <v>195000</v>
      </c>
      <c r="I140" s="34">
        <v>1</v>
      </c>
      <c r="J140" s="53">
        <v>195000</v>
      </c>
    </row>
    <row r="141" spans="1:12" s="170" customFormat="1" ht="152.25" customHeight="1">
      <c r="A141" s="272"/>
      <c r="B141" s="272"/>
      <c r="C141" s="272"/>
      <c r="D141" s="301"/>
      <c r="E141" s="189" t="s">
        <v>359</v>
      </c>
      <c r="F141" s="23" t="s">
        <v>68</v>
      </c>
      <c r="G141" s="53">
        <v>400000</v>
      </c>
      <c r="H141" s="53">
        <v>400000</v>
      </c>
      <c r="I141" s="34">
        <v>1</v>
      </c>
      <c r="J141" s="53">
        <v>400000</v>
      </c>
    </row>
    <row r="142" spans="1:12" s="199" customFormat="1" ht="66.75" customHeight="1">
      <c r="A142" s="272"/>
      <c r="B142" s="272"/>
      <c r="C142" s="272"/>
      <c r="D142" s="301"/>
      <c r="E142" s="189" t="s">
        <v>238</v>
      </c>
      <c r="F142" s="23" t="s">
        <v>68</v>
      </c>
      <c r="G142" s="81">
        <f>G143+G144+G145+G146+G147</f>
        <v>1700000</v>
      </c>
      <c r="H142" s="81">
        <f t="shared" ref="H142:J142" si="9">H143+H144+H145+H146+H147</f>
        <v>1700000</v>
      </c>
      <c r="I142" s="34">
        <v>1</v>
      </c>
      <c r="J142" s="81">
        <f t="shared" si="9"/>
        <v>1700000</v>
      </c>
    </row>
    <row r="143" spans="1:12" s="170" customFormat="1" ht="27" hidden="1" customHeight="1">
      <c r="A143" s="272"/>
      <c r="B143" s="272"/>
      <c r="C143" s="272"/>
      <c r="D143" s="301"/>
      <c r="E143" s="44" t="s">
        <v>239</v>
      </c>
      <c r="F143" s="94" t="s">
        <v>68</v>
      </c>
      <c r="G143" s="87">
        <v>0</v>
      </c>
      <c r="H143" s="87">
        <v>0</v>
      </c>
      <c r="I143" s="40">
        <v>1</v>
      </c>
      <c r="J143" s="87">
        <v>0</v>
      </c>
    </row>
    <row r="144" spans="1:12" s="170" customFormat="1" ht="85.5" hidden="1" customHeight="1">
      <c r="A144" s="272"/>
      <c r="B144" s="272"/>
      <c r="C144" s="272"/>
      <c r="D144" s="301"/>
      <c r="E144" s="44" t="s">
        <v>240</v>
      </c>
      <c r="F144" s="94" t="s">
        <v>68</v>
      </c>
      <c r="G144" s="87">
        <v>0</v>
      </c>
      <c r="H144" s="87">
        <v>0</v>
      </c>
      <c r="I144" s="40">
        <v>1</v>
      </c>
      <c r="J144" s="87">
        <v>0</v>
      </c>
    </row>
    <row r="145" spans="1:12" s="170" customFormat="1" ht="80.25" hidden="1" customHeight="1">
      <c r="A145" s="272"/>
      <c r="B145" s="272"/>
      <c r="C145" s="272"/>
      <c r="D145" s="301"/>
      <c r="E145" s="44" t="s">
        <v>241</v>
      </c>
      <c r="F145" s="94" t="s">
        <v>68</v>
      </c>
      <c r="G145" s="87">
        <v>0</v>
      </c>
      <c r="H145" s="87">
        <v>0</v>
      </c>
      <c r="I145" s="40">
        <v>1</v>
      </c>
      <c r="J145" s="87">
        <v>0</v>
      </c>
    </row>
    <row r="146" spans="1:12" s="170" customFormat="1" ht="60" customHeight="1">
      <c r="A146" s="272"/>
      <c r="B146" s="272"/>
      <c r="C146" s="272"/>
      <c r="D146" s="301"/>
      <c r="E146" s="44" t="s">
        <v>242</v>
      </c>
      <c r="F146" s="94" t="s">
        <v>68</v>
      </c>
      <c r="G146" s="87">
        <v>1200000</v>
      </c>
      <c r="H146" s="87">
        <v>1200000</v>
      </c>
      <c r="I146" s="40">
        <v>1</v>
      </c>
      <c r="J146" s="87">
        <v>1200000</v>
      </c>
    </row>
    <row r="147" spans="1:12" s="172" customFormat="1" ht="60" customHeight="1">
      <c r="A147" s="272"/>
      <c r="B147" s="272"/>
      <c r="C147" s="272"/>
      <c r="D147" s="301"/>
      <c r="E147" s="44" t="s">
        <v>433</v>
      </c>
      <c r="F147" s="42" t="s">
        <v>68</v>
      </c>
      <c r="G147" s="88">
        <v>500000</v>
      </c>
      <c r="H147" s="88">
        <v>500000</v>
      </c>
      <c r="I147" s="108"/>
      <c r="J147" s="88">
        <v>500000</v>
      </c>
    </row>
    <row r="148" spans="1:12" s="199" customFormat="1" ht="87" customHeight="1">
      <c r="A148" s="272"/>
      <c r="B148" s="272"/>
      <c r="C148" s="272"/>
      <c r="D148" s="301"/>
      <c r="E148" s="189" t="s">
        <v>243</v>
      </c>
      <c r="F148" s="23" t="s">
        <v>68</v>
      </c>
      <c r="G148" s="81">
        <f>G149+G150+G151+G152+G153+G154+G155+G156</f>
        <v>2931504</v>
      </c>
      <c r="H148" s="81">
        <f t="shared" ref="H148:J148" si="10">H149+H150+H151+H152+H153+H154+H155+H156</f>
        <v>2931504</v>
      </c>
      <c r="I148" s="40">
        <v>1</v>
      </c>
      <c r="J148" s="81">
        <f t="shared" si="10"/>
        <v>2589000</v>
      </c>
    </row>
    <row r="149" spans="1:12" s="43" customFormat="1" ht="133.5" customHeight="1">
      <c r="A149" s="272"/>
      <c r="B149" s="272"/>
      <c r="C149" s="272"/>
      <c r="D149" s="301"/>
      <c r="E149" s="202" t="s">
        <v>474</v>
      </c>
      <c r="F149" s="94" t="s">
        <v>68</v>
      </c>
      <c r="G149" s="201">
        <v>116452</v>
      </c>
      <c r="H149" s="201">
        <v>116452</v>
      </c>
      <c r="I149" s="40"/>
      <c r="J149" s="57"/>
    </row>
    <row r="150" spans="1:12" s="43" customFormat="1" ht="133.5" customHeight="1">
      <c r="A150" s="272"/>
      <c r="B150" s="272"/>
      <c r="C150" s="272"/>
      <c r="D150" s="301"/>
      <c r="E150" s="202" t="s">
        <v>475</v>
      </c>
      <c r="F150" s="94" t="s">
        <v>68</v>
      </c>
      <c r="G150" s="201">
        <v>112581</v>
      </c>
      <c r="H150" s="201">
        <v>112581</v>
      </c>
      <c r="I150" s="40"/>
      <c r="J150" s="57"/>
    </row>
    <row r="151" spans="1:12" s="43" customFormat="1" ht="133.5" customHeight="1">
      <c r="A151" s="272"/>
      <c r="B151" s="272"/>
      <c r="C151" s="272"/>
      <c r="D151" s="301"/>
      <c r="E151" s="202" t="s">
        <v>476</v>
      </c>
      <c r="F151" s="94" t="s">
        <v>68</v>
      </c>
      <c r="G151" s="201">
        <v>113471</v>
      </c>
      <c r="H151" s="201">
        <v>113471</v>
      </c>
      <c r="I151" s="40"/>
      <c r="J151" s="57"/>
    </row>
    <row r="152" spans="1:12" s="170" customFormat="1" ht="100.5" customHeight="1">
      <c r="A152" s="272"/>
      <c r="B152" s="272"/>
      <c r="C152" s="272"/>
      <c r="D152" s="301"/>
      <c r="E152" s="95" t="s">
        <v>244</v>
      </c>
      <c r="F152" s="94" t="s">
        <v>68</v>
      </c>
      <c r="G152" s="87">
        <v>939000</v>
      </c>
      <c r="H152" s="87">
        <v>939000</v>
      </c>
      <c r="I152" s="40">
        <v>1</v>
      </c>
      <c r="J152" s="87">
        <v>939000</v>
      </c>
    </row>
    <row r="153" spans="1:12" s="170" customFormat="1" ht="82.5" customHeight="1">
      <c r="A153" s="272"/>
      <c r="B153" s="272"/>
      <c r="C153" s="272"/>
      <c r="D153" s="301"/>
      <c r="E153" s="95" t="s">
        <v>245</v>
      </c>
      <c r="F153" s="94" t="s">
        <v>68</v>
      </c>
      <c r="G153" s="87">
        <v>950000</v>
      </c>
      <c r="H153" s="87">
        <v>950000</v>
      </c>
      <c r="I153" s="40">
        <v>1</v>
      </c>
      <c r="J153" s="87">
        <v>950000</v>
      </c>
    </row>
    <row r="154" spans="1:12" s="170" customFormat="1" ht="78.75" customHeight="1">
      <c r="A154" s="272"/>
      <c r="B154" s="272"/>
      <c r="C154" s="272"/>
      <c r="D154" s="301"/>
      <c r="E154" s="95" t="s">
        <v>246</v>
      </c>
      <c r="F154" s="94" t="s">
        <v>68</v>
      </c>
      <c r="G154" s="87">
        <v>500000</v>
      </c>
      <c r="H154" s="87">
        <v>500000</v>
      </c>
      <c r="I154" s="40">
        <v>1</v>
      </c>
      <c r="J154" s="87">
        <v>500000</v>
      </c>
    </row>
    <row r="155" spans="1:12" s="170" customFormat="1" ht="59.25" customHeight="1">
      <c r="A155" s="272"/>
      <c r="B155" s="272"/>
      <c r="C155" s="272"/>
      <c r="D155" s="301"/>
      <c r="E155" s="95" t="s">
        <v>247</v>
      </c>
      <c r="F155" s="94" t="s">
        <v>68</v>
      </c>
      <c r="G155" s="87">
        <v>200000</v>
      </c>
      <c r="H155" s="87">
        <v>200000</v>
      </c>
      <c r="I155" s="40">
        <v>1</v>
      </c>
      <c r="J155" s="87">
        <v>200000</v>
      </c>
    </row>
    <row r="156" spans="1:12" s="170" customFormat="1" ht="57.75" customHeight="1">
      <c r="A156" s="272"/>
      <c r="B156" s="272"/>
      <c r="C156" s="272"/>
      <c r="D156" s="301"/>
      <c r="E156" s="45" t="s">
        <v>248</v>
      </c>
      <c r="F156" s="94" t="s">
        <v>68</v>
      </c>
      <c r="G156" s="87">
        <f>200000-200000</f>
        <v>0</v>
      </c>
      <c r="H156" s="87">
        <f>200000-200000</f>
        <v>0</v>
      </c>
      <c r="I156" s="40"/>
      <c r="J156" s="87">
        <f>200000-200000</f>
        <v>0</v>
      </c>
    </row>
    <row r="157" spans="1:12" s="199" customFormat="1" ht="56.25">
      <c r="A157" s="272"/>
      <c r="B157" s="272"/>
      <c r="C157" s="272"/>
      <c r="D157" s="301"/>
      <c r="E157" s="186" t="s">
        <v>249</v>
      </c>
      <c r="F157" s="23" t="s">
        <v>68</v>
      </c>
      <c r="G157" s="81">
        <v>450000</v>
      </c>
      <c r="H157" s="81">
        <v>450000</v>
      </c>
      <c r="I157" s="34">
        <v>1</v>
      </c>
      <c r="J157" s="81">
        <v>450000</v>
      </c>
    </row>
    <row r="158" spans="1:12" ht="37.5">
      <c r="A158" s="272"/>
      <c r="B158" s="272"/>
      <c r="C158" s="272"/>
      <c r="D158" s="301"/>
      <c r="E158" s="189" t="s">
        <v>97</v>
      </c>
      <c r="F158" s="23" t="s">
        <v>68</v>
      </c>
      <c r="G158" s="53">
        <v>300000</v>
      </c>
      <c r="H158" s="53">
        <v>300000</v>
      </c>
      <c r="I158" s="34">
        <v>1</v>
      </c>
      <c r="J158" s="53">
        <v>300000</v>
      </c>
      <c r="L158" s="1"/>
    </row>
    <row r="159" spans="1:12" s="199" customFormat="1" ht="56.25">
      <c r="A159" s="272"/>
      <c r="B159" s="272"/>
      <c r="C159" s="272"/>
      <c r="D159" s="301"/>
      <c r="E159" s="64" t="s">
        <v>443</v>
      </c>
      <c r="F159" s="23" t="s">
        <v>68</v>
      </c>
      <c r="G159" s="53">
        <v>150000</v>
      </c>
      <c r="H159" s="53">
        <v>150000</v>
      </c>
      <c r="I159" s="34">
        <v>1</v>
      </c>
      <c r="J159" s="53">
        <v>150000</v>
      </c>
    </row>
    <row r="160" spans="1:12" ht="75">
      <c r="A160" s="272"/>
      <c r="B160" s="272"/>
      <c r="C160" s="272"/>
      <c r="D160" s="301"/>
      <c r="E160" s="189" t="s">
        <v>411</v>
      </c>
      <c r="F160" s="23" t="s">
        <v>68</v>
      </c>
      <c r="G160" s="60">
        <v>300000</v>
      </c>
      <c r="H160" s="60">
        <v>300000</v>
      </c>
      <c r="I160" s="34">
        <v>1</v>
      </c>
      <c r="J160" s="60">
        <v>300000</v>
      </c>
      <c r="L160" s="1"/>
    </row>
    <row r="161" spans="1:12" ht="73.5" customHeight="1">
      <c r="A161" s="272"/>
      <c r="B161" s="272"/>
      <c r="C161" s="272"/>
      <c r="D161" s="301"/>
      <c r="E161" s="189" t="s">
        <v>412</v>
      </c>
      <c r="F161" s="23" t="s">
        <v>68</v>
      </c>
      <c r="G161" s="60">
        <v>350000</v>
      </c>
      <c r="H161" s="60">
        <v>350000</v>
      </c>
      <c r="I161" s="34">
        <v>1</v>
      </c>
      <c r="J161" s="60">
        <v>350000</v>
      </c>
      <c r="L161" s="1"/>
    </row>
    <row r="162" spans="1:12" ht="115.5" customHeight="1">
      <c r="A162" s="272"/>
      <c r="B162" s="272"/>
      <c r="C162" s="272"/>
      <c r="D162" s="301"/>
      <c r="E162" s="148" t="s">
        <v>371</v>
      </c>
      <c r="F162" s="23" t="s">
        <v>68</v>
      </c>
      <c r="G162" s="149">
        <v>100000</v>
      </c>
      <c r="H162" s="149">
        <v>100000</v>
      </c>
      <c r="I162" s="34"/>
      <c r="J162" s="53"/>
      <c r="L162" s="1"/>
    </row>
    <row r="163" spans="1:12" ht="115.5" customHeight="1">
      <c r="A163" s="272"/>
      <c r="B163" s="272"/>
      <c r="C163" s="272"/>
      <c r="D163" s="301"/>
      <c r="E163" s="148" t="s">
        <v>372</v>
      </c>
      <c r="F163" s="23" t="s">
        <v>68</v>
      </c>
      <c r="G163" s="149">
        <v>80000</v>
      </c>
      <c r="H163" s="149">
        <v>80000</v>
      </c>
      <c r="I163" s="34"/>
      <c r="J163" s="53"/>
      <c r="L163" s="1"/>
    </row>
    <row r="164" spans="1:12" ht="115.5" customHeight="1">
      <c r="A164" s="272"/>
      <c r="B164" s="272"/>
      <c r="C164" s="272"/>
      <c r="D164" s="301"/>
      <c r="E164" s="189" t="s">
        <v>442</v>
      </c>
      <c r="F164" s="23" t="s">
        <v>68</v>
      </c>
      <c r="G164" s="60">
        <v>200000</v>
      </c>
      <c r="H164" s="60">
        <v>200000</v>
      </c>
      <c r="I164" s="34">
        <v>1</v>
      </c>
      <c r="J164" s="60">
        <v>200000</v>
      </c>
      <c r="L164" s="1"/>
    </row>
    <row r="165" spans="1:12" ht="115.5" customHeight="1">
      <c r="A165" s="272"/>
      <c r="B165" s="272"/>
      <c r="C165" s="272"/>
      <c r="D165" s="301"/>
      <c r="E165" s="189" t="s">
        <v>417</v>
      </c>
      <c r="F165" s="23" t="s">
        <v>68</v>
      </c>
      <c r="G165" s="60">
        <v>100000</v>
      </c>
      <c r="H165" s="60">
        <v>100000</v>
      </c>
      <c r="I165" s="34">
        <v>1</v>
      </c>
      <c r="J165" s="60">
        <v>100000</v>
      </c>
      <c r="L165" s="1"/>
    </row>
    <row r="166" spans="1:12" s="170" customFormat="1" ht="56.25">
      <c r="A166" s="272"/>
      <c r="B166" s="272"/>
      <c r="C166" s="272"/>
      <c r="D166" s="301"/>
      <c r="E166" s="186" t="s">
        <v>250</v>
      </c>
      <c r="F166" s="23" t="s">
        <v>68</v>
      </c>
      <c r="G166" s="81">
        <v>600000</v>
      </c>
      <c r="H166" s="81">
        <v>600000</v>
      </c>
      <c r="I166" s="34">
        <v>1</v>
      </c>
      <c r="J166" s="81">
        <v>600000</v>
      </c>
    </row>
    <row r="167" spans="1:12" s="170" customFormat="1" ht="56.25">
      <c r="A167" s="272"/>
      <c r="B167" s="272"/>
      <c r="C167" s="272"/>
      <c r="D167" s="301"/>
      <c r="E167" s="189" t="s">
        <v>416</v>
      </c>
      <c r="F167" s="23" t="s">
        <v>68</v>
      </c>
      <c r="G167" s="60">
        <v>180000</v>
      </c>
      <c r="H167" s="60">
        <v>180000</v>
      </c>
      <c r="I167" s="34">
        <v>1</v>
      </c>
      <c r="J167" s="60">
        <v>180000</v>
      </c>
    </row>
    <row r="168" spans="1:12" ht="37.5">
      <c r="A168" s="272"/>
      <c r="B168" s="272"/>
      <c r="C168" s="272"/>
      <c r="D168" s="301"/>
      <c r="E168" s="189" t="s">
        <v>96</v>
      </c>
      <c r="F168" s="23" t="s">
        <v>68</v>
      </c>
      <c r="G168" s="53">
        <v>350000</v>
      </c>
      <c r="H168" s="53">
        <v>350000</v>
      </c>
      <c r="I168" s="34">
        <v>1</v>
      </c>
      <c r="J168" s="53">
        <v>350000</v>
      </c>
      <c r="L168" s="1"/>
    </row>
    <row r="169" spans="1:12" ht="56.25">
      <c r="A169" s="272"/>
      <c r="B169" s="272"/>
      <c r="C169" s="272"/>
      <c r="D169" s="301"/>
      <c r="E169" s="189" t="s">
        <v>409</v>
      </c>
      <c r="F169" s="23" t="s">
        <v>68</v>
      </c>
      <c r="G169" s="60">
        <v>250000</v>
      </c>
      <c r="H169" s="60">
        <v>250000</v>
      </c>
      <c r="I169" s="34">
        <v>1</v>
      </c>
      <c r="J169" s="60">
        <v>250000</v>
      </c>
      <c r="L169" s="1"/>
    </row>
    <row r="170" spans="1:12" ht="165.75" customHeight="1">
      <c r="A170" s="272"/>
      <c r="B170" s="272"/>
      <c r="C170" s="272"/>
      <c r="D170" s="301"/>
      <c r="E170" s="189" t="s">
        <v>360</v>
      </c>
      <c r="F170" s="23" t="s">
        <v>68</v>
      </c>
      <c r="G170" s="53">
        <v>46582</v>
      </c>
      <c r="H170" s="53">
        <v>46582</v>
      </c>
      <c r="I170" s="34">
        <v>1</v>
      </c>
      <c r="J170" s="53">
        <v>0</v>
      </c>
      <c r="L170" s="1"/>
    </row>
    <row r="171" spans="1:12" ht="165.75" customHeight="1">
      <c r="A171" s="272"/>
      <c r="B171" s="272"/>
      <c r="C171" s="272"/>
      <c r="D171" s="301"/>
      <c r="E171" s="148" t="s">
        <v>373</v>
      </c>
      <c r="F171" s="23" t="s">
        <v>68</v>
      </c>
      <c r="G171" s="149">
        <v>1490000</v>
      </c>
      <c r="H171" s="149">
        <v>1490000</v>
      </c>
      <c r="I171" s="34"/>
      <c r="J171" s="53"/>
      <c r="L171" s="1"/>
    </row>
    <row r="172" spans="1:12" ht="96.75" customHeight="1">
      <c r="A172" s="272"/>
      <c r="B172" s="272"/>
      <c r="C172" s="272"/>
      <c r="D172" s="301"/>
      <c r="E172" s="189" t="s">
        <v>414</v>
      </c>
      <c r="F172" s="23" t="s">
        <v>68</v>
      </c>
      <c r="G172" s="60">
        <v>500000</v>
      </c>
      <c r="H172" s="60">
        <v>500000</v>
      </c>
      <c r="I172" s="34">
        <v>1</v>
      </c>
      <c r="J172" s="60">
        <v>500000</v>
      </c>
      <c r="L172" s="1"/>
    </row>
    <row r="173" spans="1:12" ht="96.75" customHeight="1">
      <c r="A173" s="272"/>
      <c r="B173" s="272"/>
      <c r="C173" s="272"/>
      <c r="D173" s="301"/>
      <c r="E173" s="189" t="s">
        <v>415</v>
      </c>
      <c r="F173" s="23" t="s">
        <v>68</v>
      </c>
      <c r="G173" s="60">
        <v>200000</v>
      </c>
      <c r="H173" s="60">
        <v>200000</v>
      </c>
      <c r="I173" s="34">
        <v>1</v>
      </c>
      <c r="J173" s="60">
        <v>200000</v>
      </c>
      <c r="L173" s="1"/>
    </row>
    <row r="174" spans="1:12" ht="96.75" customHeight="1">
      <c r="A174" s="272"/>
      <c r="B174" s="272"/>
      <c r="C174" s="272"/>
      <c r="D174" s="301"/>
      <c r="E174" s="189" t="s">
        <v>441</v>
      </c>
      <c r="F174" s="23" t="s">
        <v>68</v>
      </c>
      <c r="G174" s="60">
        <v>160000</v>
      </c>
      <c r="H174" s="60">
        <v>160000</v>
      </c>
      <c r="I174" s="34">
        <v>1</v>
      </c>
      <c r="J174" s="60">
        <v>160000</v>
      </c>
      <c r="L174" s="1"/>
    </row>
    <row r="175" spans="1:12" ht="96.75" customHeight="1">
      <c r="A175" s="272"/>
      <c r="B175" s="272"/>
      <c r="C175" s="272"/>
      <c r="D175" s="301"/>
      <c r="E175" s="189" t="s">
        <v>410</v>
      </c>
      <c r="F175" s="23" t="s">
        <v>68</v>
      </c>
      <c r="G175" s="60">
        <v>150000</v>
      </c>
      <c r="H175" s="60">
        <v>150000</v>
      </c>
      <c r="I175" s="34">
        <v>1</v>
      </c>
      <c r="J175" s="60">
        <v>150000</v>
      </c>
      <c r="L175" s="1"/>
    </row>
    <row r="176" spans="1:12" ht="96.75" customHeight="1">
      <c r="A176" s="272"/>
      <c r="B176" s="272"/>
      <c r="C176" s="272"/>
      <c r="D176" s="301"/>
      <c r="E176" s="189" t="s">
        <v>413</v>
      </c>
      <c r="F176" s="23" t="s">
        <v>68</v>
      </c>
      <c r="G176" s="60">
        <v>140000</v>
      </c>
      <c r="H176" s="60">
        <v>140000</v>
      </c>
      <c r="I176" s="34">
        <v>1</v>
      </c>
      <c r="J176" s="60">
        <v>140000</v>
      </c>
      <c r="L176" s="1"/>
    </row>
    <row r="177" spans="1:12" ht="60.75" customHeight="1">
      <c r="A177" s="272"/>
      <c r="B177" s="272"/>
      <c r="C177" s="272"/>
      <c r="D177" s="301"/>
      <c r="E177" s="186" t="s">
        <v>78</v>
      </c>
      <c r="F177" s="23" t="s">
        <v>68</v>
      </c>
      <c r="G177" s="81">
        <f>200000-200000</f>
        <v>0</v>
      </c>
      <c r="H177" s="81">
        <f>200000-200000</f>
        <v>0</v>
      </c>
      <c r="I177" s="34"/>
      <c r="J177" s="81">
        <f>200000-200000</f>
        <v>0</v>
      </c>
      <c r="L177" s="1"/>
    </row>
    <row r="178" spans="1:12" ht="60.75" customHeight="1">
      <c r="A178" s="272"/>
      <c r="B178" s="272"/>
      <c r="C178" s="272"/>
      <c r="D178" s="301"/>
      <c r="E178" s="65" t="s">
        <v>124</v>
      </c>
      <c r="F178" s="23" t="s">
        <v>68</v>
      </c>
      <c r="G178" s="53">
        <v>200000</v>
      </c>
      <c r="H178" s="53">
        <v>200000</v>
      </c>
      <c r="I178" s="34">
        <v>1</v>
      </c>
      <c r="J178" s="53">
        <v>200000</v>
      </c>
      <c r="L178" s="1"/>
    </row>
    <row r="179" spans="1:12" s="170" customFormat="1" ht="56.25">
      <c r="A179" s="272"/>
      <c r="B179" s="272"/>
      <c r="C179" s="272"/>
      <c r="D179" s="301"/>
      <c r="E179" s="186" t="s">
        <v>251</v>
      </c>
      <c r="F179" s="23" t="s">
        <v>68</v>
      </c>
      <c r="G179" s="81">
        <v>1000000</v>
      </c>
      <c r="H179" s="81">
        <v>1000000</v>
      </c>
      <c r="I179" s="34">
        <v>1</v>
      </c>
      <c r="J179" s="81">
        <v>1000000</v>
      </c>
    </row>
    <row r="180" spans="1:12" s="170" customFormat="1" ht="40.5" customHeight="1">
      <c r="A180" s="272"/>
      <c r="B180" s="272"/>
      <c r="C180" s="272"/>
      <c r="D180" s="301"/>
      <c r="E180" s="186" t="s">
        <v>252</v>
      </c>
      <c r="F180" s="23" t="s">
        <v>68</v>
      </c>
      <c r="G180" s="81">
        <v>250000</v>
      </c>
      <c r="H180" s="81">
        <v>250000</v>
      </c>
      <c r="I180" s="34">
        <v>1</v>
      </c>
      <c r="J180" s="81">
        <v>250000</v>
      </c>
    </row>
    <row r="181" spans="1:12" s="170" customFormat="1">
      <c r="A181" s="272"/>
      <c r="B181" s="272"/>
      <c r="C181" s="272"/>
      <c r="D181" s="301"/>
      <c r="E181" s="186" t="s">
        <v>253</v>
      </c>
      <c r="F181" s="23" t="s">
        <v>68</v>
      </c>
      <c r="G181" s="81">
        <v>600000</v>
      </c>
      <c r="H181" s="81">
        <v>600000</v>
      </c>
      <c r="I181" s="34">
        <v>1</v>
      </c>
      <c r="J181" s="81">
        <v>600000</v>
      </c>
    </row>
    <row r="182" spans="1:12" s="170" customFormat="1" ht="37.5">
      <c r="A182" s="272"/>
      <c r="B182" s="272"/>
      <c r="C182" s="272"/>
      <c r="D182" s="301"/>
      <c r="E182" s="186" t="s">
        <v>254</v>
      </c>
      <c r="F182" s="23" t="s">
        <v>68</v>
      </c>
      <c r="G182" s="81">
        <v>561000</v>
      </c>
      <c r="H182" s="81">
        <v>561000</v>
      </c>
      <c r="I182" s="34">
        <v>1</v>
      </c>
      <c r="J182" s="81">
        <v>561000</v>
      </c>
    </row>
    <row r="183" spans="1:12" s="199" customFormat="1" ht="93.75">
      <c r="A183" s="272"/>
      <c r="B183" s="272"/>
      <c r="C183" s="272"/>
      <c r="D183" s="301"/>
      <c r="E183" s="186" t="s">
        <v>255</v>
      </c>
      <c r="F183" s="197" t="s">
        <v>68</v>
      </c>
      <c r="G183" s="81">
        <v>1000000</v>
      </c>
      <c r="H183" s="198">
        <v>1000000</v>
      </c>
      <c r="I183" s="200">
        <v>1</v>
      </c>
      <c r="J183" s="198">
        <v>1000000</v>
      </c>
    </row>
    <row r="184" spans="1:12" s="199" customFormat="1" hidden="1">
      <c r="A184" s="272"/>
      <c r="B184" s="272"/>
      <c r="C184" s="272"/>
      <c r="D184" s="301"/>
      <c r="E184" s="213"/>
      <c r="F184" s="197"/>
      <c r="G184" s="214"/>
      <c r="H184" s="214"/>
      <c r="I184" s="200"/>
      <c r="J184" s="214"/>
    </row>
    <row r="185" spans="1:12" ht="93.75">
      <c r="A185" s="272"/>
      <c r="B185" s="272"/>
      <c r="C185" s="272"/>
      <c r="D185" s="301"/>
      <c r="E185" s="64" t="s">
        <v>98</v>
      </c>
      <c r="F185" s="23" t="s">
        <v>68</v>
      </c>
      <c r="G185" s="53">
        <v>450000</v>
      </c>
      <c r="H185" s="53">
        <v>450000</v>
      </c>
      <c r="I185" s="34">
        <v>1</v>
      </c>
      <c r="J185" s="53">
        <v>450000</v>
      </c>
      <c r="L185" s="1"/>
    </row>
    <row r="186" spans="1:12" s="170" customFormat="1" ht="101.25" customHeight="1">
      <c r="A186" s="272"/>
      <c r="B186" s="272"/>
      <c r="C186" s="272"/>
      <c r="D186" s="301"/>
      <c r="E186" s="186" t="s">
        <v>256</v>
      </c>
      <c r="F186" s="23" t="s">
        <v>68</v>
      </c>
      <c r="G186" s="81">
        <f>50000+450000</f>
        <v>500000</v>
      </c>
      <c r="H186" s="81">
        <f>50000+450000</f>
        <v>500000</v>
      </c>
      <c r="I186" s="34">
        <v>1</v>
      </c>
      <c r="J186" s="81">
        <f>50000+450000</f>
        <v>500000</v>
      </c>
    </row>
    <row r="187" spans="1:12" s="170" customFormat="1" ht="93.75">
      <c r="A187" s="272"/>
      <c r="B187" s="272"/>
      <c r="C187" s="272"/>
      <c r="D187" s="301"/>
      <c r="E187" s="186" t="s">
        <v>257</v>
      </c>
      <c r="F187" s="23" t="s">
        <v>68</v>
      </c>
      <c r="G187" s="81">
        <v>200000</v>
      </c>
      <c r="H187" s="81">
        <v>200000</v>
      </c>
      <c r="I187" s="34">
        <v>1</v>
      </c>
      <c r="J187" s="81">
        <v>200000</v>
      </c>
    </row>
    <row r="188" spans="1:12" s="170" customFormat="1" ht="96" customHeight="1">
      <c r="A188" s="272"/>
      <c r="B188" s="272"/>
      <c r="C188" s="272"/>
      <c r="D188" s="301"/>
      <c r="E188" s="186" t="s">
        <v>258</v>
      </c>
      <c r="F188" s="23" t="s">
        <v>68</v>
      </c>
      <c r="G188" s="81">
        <v>200000</v>
      </c>
      <c r="H188" s="81">
        <v>200000</v>
      </c>
      <c r="I188" s="34">
        <v>1</v>
      </c>
      <c r="J188" s="81">
        <v>200000</v>
      </c>
    </row>
    <row r="189" spans="1:12" s="170" customFormat="1" ht="96" customHeight="1">
      <c r="A189" s="272"/>
      <c r="B189" s="272"/>
      <c r="C189" s="272"/>
      <c r="D189" s="301"/>
      <c r="E189" s="189" t="s">
        <v>95</v>
      </c>
      <c r="F189" s="23" t="s">
        <v>68</v>
      </c>
      <c r="G189" s="53">
        <v>500000</v>
      </c>
      <c r="H189" s="53">
        <v>500000</v>
      </c>
      <c r="I189" s="34">
        <v>1</v>
      </c>
      <c r="J189" s="53">
        <v>500000</v>
      </c>
    </row>
    <row r="190" spans="1:12" ht="96" customHeight="1">
      <c r="A190" s="272"/>
      <c r="B190" s="272"/>
      <c r="C190" s="272"/>
      <c r="D190" s="301"/>
      <c r="E190" s="189" t="s">
        <v>123</v>
      </c>
      <c r="F190" s="23" t="s">
        <v>68</v>
      </c>
      <c r="G190" s="53">
        <v>200000</v>
      </c>
      <c r="H190" s="53">
        <v>200000</v>
      </c>
      <c r="I190" s="34">
        <v>1</v>
      </c>
      <c r="J190" s="53">
        <v>200000</v>
      </c>
      <c r="L190" s="1"/>
    </row>
    <row r="191" spans="1:12" ht="150.75" customHeight="1">
      <c r="A191" s="272"/>
      <c r="B191" s="272"/>
      <c r="C191" s="272"/>
      <c r="D191" s="301"/>
      <c r="E191" s="148" t="s">
        <v>377</v>
      </c>
      <c r="F191" s="23" t="s">
        <v>68</v>
      </c>
      <c r="G191" s="149">
        <v>320000</v>
      </c>
      <c r="H191" s="149">
        <v>320000</v>
      </c>
      <c r="I191" s="34"/>
      <c r="J191" s="53"/>
      <c r="L191" s="1"/>
    </row>
    <row r="192" spans="1:12" ht="150.75" customHeight="1">
      <c r="A192" s="272"/>
      <c r="B192" s="272"/>
      <c r="C192" s="272"/>
      <c r="D192" s="301"/>
      <c r="E192" s="148" t="s">
        <v>378</v>
      </c>
      <c r="F192" s="23" t="s">
        <v>68</v>
      </c>
      <c r="G192" s="149">
        <v>320000</v>
      </c>
      <c r="H192" s="149">
        <v>320000</v>
      </c>
      <c r="I192" s="34"/>
      <c r="J192" s="53"/>
      <c r="L192" s="1"/>
    </row>
    <row r="193" spans="1:12" ht="117.75" customHeight="1">
      <c r="A193" s="272"/>
      <c r="B193" s="272"/>
      <c r="C193" s="272"/>
      <c r="D193" s="301"/>
      <c r="E193" s="189" t="s">
        <v>361</v>
      </c>
      <c r="F193" s="23" t="s">
        <v>68</v>
      </c>
      <c r="G193" s="53">
        <v>428079.2</v>
      </c>
      <c r="H193" s="53">
        <v>428079.2</v>
      </c>
      <c r="I193" s="34">
        <v>1</v>
      </c>
      <c r="J193" s="53">
        <v>0</v>
      </c>
      <c r="L193" s="1"/>
    </row>
    <row r="194" spans="1:12" s="170" customFormat="1" ht="80.25" customHeight="1">
      <c r="A194" s="272"/>
      <c r="B194" s="272"/>
      <c r="C194" s="272"/>
      <c r="D194" s="301"/>
      <c r="E194" s="186" t="s">
        <v>259</v>
      </c>
      <c r="F194" s="23" t="s">
        <v>68</v>
      </c>
      <c r="G194" s="81">
        <v>300000</v>
      </c>
      <c r="H194" s="81">
        <v>300000</v>
      </c>
      <c r="I194" s="34">
        <v>1</v>
      </c>
      <c r="J194" s="81">
        <v>300000</v>
      </c>
    </row>
    <row r="195" spans="1:12" ht="80.25" customHeight="1">
      <c r="A195" s="272"/>
      <c r="B195" s="272"/>
      <c r="C195" s="272"/>
      <c r="D195" s="301"/>
      <c r="E195" s="186" t="s">
        <v>260</v>
      </c>
      <c r="F195" s="23" t="s">
        <v>68</v>
      </c>
      <c r="G195" s="81">
        <v>300000</v>
      </c>
      <c r="H195" s="81">
        <v>300000</v>
      </c>
      <c r="I195" s="34">
        <v>1</v>
      </c>
      <c r="J195" s="81">
        <v>300000</v>
      </c>
      <c r="L195" s="1"/>
    </row>
    <row r="196" spans="1:12" ht="80.25" customHeight="1">
      <c r="A196" s="272"/>
      <c r="B196" s="272"/>
      <c r="C196" s="272"/>
      <c r="D196" s="301"/>
      <c r="E196" s="186" t="s">
        <v>261</v>
      </c>
      <c r="F196" s="23" t="s">
        <v>68</v>
      </c>
      <c r="G196" s="81">
        <v>400000</v>
      </c>
      <c r="H196" s="81">
        <v>400000</v>
      </c>
      <c r="I196" s="34">
        <v>1</v>
      </c>
      <c r="J196" s="81">
        <v>400000</v>
      </c>
      <c r="L196" s="1"/>
    </row>
    <row r="197" spans="1:12" ht="175.5" customHeight="1">
      <c r="A197" s="272"/>
      <c r="B197" s="272"/>
      <c r="C197" s="272"/>
      <c r="D197" s="301"/>
      <c r="E197" s="148" t="s">
        <v>369</v>
      </c>
      <c r="F197" s="23" t="s">
        <v>68</v>
      </c>
      <c r="G197" s="149">
        <v>99000</v>
      </c>
      <c r="H197" s="149">
        <v>99000</v>
      </c>
      <c r="I197" s="34"/>
      <c r="J197" s="53"/>
      <c r="L197" s="1"/>
    </row>
    <row r="198" spans="1:12" ht="175.5" customHeight="1">
      <c r="A198" s="272"/>
      <c r="B198" s="272"/>
      <c r="C198" s="272"/>
      <c r="D198" s="301"/>
      <c r="E198" s="148" t="s">
        <v>370</v>
      </c>
      <c r="F198" s="23" t="s">
        <v>68</v>
      </c>
      <c r="G198" s="149">
        <v>100000</v>
      </c>
      <c r="H198" s="149">
        <v>100000</v>
      </c>
      <c r="I198" s="34"/>
      <c r="J198" s="53"/>
      <c r="L198" s="1"/>
    </row>
    <row r="199" spans="1:12" ht="126.75" customHeight="1">
      <c r="A199" s="272"/>
      <c r="B199" s="272"/>
      <c r="C199" s="272"/>
      <c r="D199" s="301"/>
      <c r="E199" s="207" t="s">
        <v>125</v>
      </c>
      <c r="F199" s="23" t="s">
        <v>68</v>
      </c>
      <c r="G199" s="81">
        <f>1150000+277000</f>
        <v>1427000</v>
      </c>
      <c r="H199" s="81">
        <f>1150000+277000</f>
        <v>1427000</v>
      </c>
      <c r="I199" s="34">
        <v>1</v>
      </c>
      <c r="J199" s="81">
        <f>1150000+277000</f>
        <v>1427000</v>
      </c>
      <c r="L199" s="1"/>
    </row>
    <row r="200" spans="1:12" ht="99" customHeight="1">
      <c r="A200" s="272"/>
      <c r="B200" s="272"/>
      <c r="C200" s="272"/>
      <c r="D200" s="301"/>
      <c r="E200" s="65" t="s">
        <v>387</v>
      </c>
      <c r="F200" s="23" t="s">
        <v>68</v>
      </c>
      <c r="G200" s="53">
        <v>500000</v>
      </c>
      <c r="H200" s="53">
        <v>500000</v>
      </c>
      <c r="I200" s="34"/>
      <c r="J200" s="53">
        <v>500000</v>
      </c>
      <c r="L200" s="1"/>
    </row>
    <row r="201" spans="1:12" ht="56.25">
      <c r="A201" s="272"/>
      <c r="B201" s="272"/>
      <c r="C201" s="272"/>
      <c r="D201" s="301"/>
      <c r="E201" s="186" t="s">
        <v>262</v>
      </c>
      <c r="F201" s="23" t="s">
        <v>68</v>
      </c>
      <c r="G201" s="81">
        <v>700000</v>
      </c>
      <c r="H201" s="81">
        <v>700000</v>
      </c>
      <c r="I201" s="34">
        <v>1</v>
      </c>
      <c r="J201" s="81">
        <v>700000</v>
      </c>
      <c r="L201" s="1"/>
    </row>
    <row r="202" spans="1:12" ht="93.75">
      <c r="A202" s="272"/>
      <c r="B202" s="272"/>
      <c r="C202" s="272"/>
      <c r="D202" s="301"/>
      <c r="E202" s="186" t="s">
        <v>263</v>
      </c>
      <c r="F202" s="23" t="s">
        <v>68</v>
      </c>
      <c r="G202" s="81">
        <v>900000</v>
      </c>
      <c r="H202" s="81">
        <v>900000</v>
      </c>
      <c r="I202" s="34">
        <v>1</v>
      </c>
      <c r="J202" s="81"/>
      <c r="L202" s="1"/>
    </row>
    <row r="203" spans="1:12" ht="37.5">
      <c r="A203" s="272"/>
      <c r="B203" s="272"/>
      <c r="C203" s="272"/>
      <c r="D203" s="301"/>
      <c r="E203" s="65" t="s">
        <v>100</v>
      </c>
      <c r="F203" s="23" t="s">
        <v>68</v>
      </c>
      <c r="G203" s="53">
        <f>200000+220000</f>
        <v>420000</v>
      </c>
      <c r="H203" s="53">
        <f>200000+220000</f>
        <v>420000</v>
      </c>
      <c r="I203" s="34">
        <v>1</v>
      </c>
      <c r="J203" s="53">
        <f>200000+220000</f>
        <v>420000</v>
      </c>
      <c r="L203" s="1"/>
    </row>
    <row r="204" spans="1:12" ht="37.5">
      <c r="A204" s="272"/>
      <c r="B204" s="272"/>
      <c r="C204" s="272"/>
      <c r="D204" s="301"/>
      <c r="E204" s="64" t="s">
        <v>99</v>
      </c>
      <c r="F204" s="23" t="s">
        <v>68</v>
      </c>
      <c r="G204" s="53">
        <v>18468</v>
      </c>
      <c r="H204" s="53">
        <v>18468</v>
      </c>
      <c r="I204" s="34">
        <v>1</v>
      </c>
      <c r="J204" s="53">
        <v>18468</v>
      </c>
      <c r="L204" s="1"/>
    </row>
    <row r="205" spans="1:12" ht="93.75">
      <c r="A205" s="273"/>
      <c r="B205" s="273"/>
      <c r="C205" s="273"/>
      <c r="D205" s="300"/>
      <c r="E205" s="186" t="s">
        <v>264</v>
      </c>
      <c r="F205" s="23" t="s">
        <v>68</v>
      </c>
      <c r="G205" s="81">
        <v>900000</v>
      </c>
      <c r="H205" s="81">
        <v>900000</v>
      </c>
      <c r="I205" s="34">
        <v>1</v>
      </c>
      <c r="J205" s="81"/>
      <c r="L205" s="1"/>
    </row>
    <row r="206" spans="1:12">
      <c r="A206" s="66" t="s">
        <v>101</v>
      </c>
      <c r="B206" s="66" t="s">
        <v>32</v>
      </c>
      <c r="C206" s="66" t="s">
        <v>33</v>
      </c>
      <c r="D206" s="298" t="s">
        <v>34</v>
      </c>
      <c r="E206" s="298"/>
      <c r="F206" s="23" t="s">
        <v>68</v>
      </c>
      <c r="G206" s="53">
        <v>100140</v>
      </c>
      <c r="H206" s="53">
        <v>100140</v>
      </c>
      <c r="I206" s="34">
        <v>1</v>
      </c>
      <c r="J206" s="53">
        <v>100140</v>
      </c>
      <c r="L206" s="1"/>
    </row>
    <row r="207" spans="1:12" ht="18.75" customHeight="1">
      <c r="A207" s="271" t="s">
        <v>53</v>
      </c>
      <c r="B207" s="286" t="s">
        <v>52</v>
      </c>
      <c r="C207" s="286" t="s">
        <v>10</v>
      </c>
      <c r="D207" s="299" t="s">
        <v>35</v>
      </c>
      <c r="E207" s="38" t="s">
        <v>55</v>
      </c>
      <c r="F207" s="38"/>
      <c r="G207" s="39">
        <f>G208+G209+G210+G211+G212+G213+G214</f>
        <v>8000220</v>
      </c>
      <c r="H207" s="39">
        <f>H208+H209+H210+H211+H212+H213+H214</f>
        <v>8009056.5999999996</v>
      </c>
      <c r="I207" s="39"/>
      <c r="J207" s="39">
        <f>J208+J209+J210+J211+J212+J213+J214</f>
        <v>1509056.6</v>
      </c>
      <c r="K207" s="142">
        <f>початковий!G115+'зміни квітень'!G124</f>
        <v>8000220</v>
      </c>
      <c r="L207" s="142">
        <f>початковий!H115+'зміни квітень'!H124</f>
        <v>8009056.5999999996</v>
      </c>
    </row>
    <row r="208" spans="1:12" ht="56.25">
      <c r="A208" s="272"/>
      <c r="B208" s="287"/>
      <c r="C208" s="287"/>
      <c r="D208" s="301"/>
      <c r="E208" s="185" t="s">
        <v>265</v>
      </c>
      <c r="F208" s="185" t="s">
        <v>68</v>
      </c>
      <c r="G208" s="96">
        <v>5000000</v>
      </c>
      <c r="H208" s="96">
        <v>5000000</v>
      </c>
      <c r="I208" s="35">
        <v>1</v>
      </c>
      <c r="J208" s="96"/>
      <c r="K208" s="142">
        <f>K207-G207</f>
        <v>0</v>
      </c>
      <c r="L208" s="142">
        <f>L207-H207</f>
        <v>0</v>
      </c>
    </row>
    <row r="209" spans="1:17" s="170" customFormat="1" ht="75">
      <c r="A209" s="272"/>
      <c r="B209" s="287"/>
      <c r="C209" s="287"/>
      <c r="D209" s="301"/>
      <c r="E209" s="167" t="s">
        <v>266</v>
      </c>
      <c r="F209" s="167" t="s">
        <v>68</v>
      </c>
      <c r="G209" s="96">
        <v>500000</v>
      </c>
      <c r="H209" s="96">
        <v>500000</v>
      </c>
      <c r="I209" s="35">
        <v>1</v>
      </c>
      <c r="J209" s="96">
        <v>500000</v>
      </c>
    </row>
    <row r="210" spans="1:17" s="170" customFormat="1" ht="56.25">
      <c r="A210" s="272"/>
      <c r="B210" s="287"/>
      <c r="C210" s="287"/>
      <c r="D210" s="301"/>
      <c r="E210" s="64" t="s">
        <v>103</v>
      </c>
      <c r="F210" s="167" t="s">
        <v>68</v>
      </c>
      <c r="G210" s="49">
        <v>785000</v>
      </c>
      <c r="H210" s="49">
        <v>785000</v>
      </c>
      <c r="I210" s="35">
        <v>1</v>
      </c>
      <c r="J210" s="49">
        <v>785000</v>
      </c>
    </row>
    <row r="211" spans="1:17" ht="112.5">
      <c r="A211" s="272"/>
      <c r="B211" s="287"/>
      <c r="C211" s="287"/>
      <c r="D211" s="301"/>
      <c r="E211" s="64" t="s">
        <v>102</v>
      </c>
      <c r="F211" s="167" t="s">
        <v>68</v>
      </c>
      <c r="G211" s="49">
        <v>190000</v>
      </c>
      <c r="H211" s="49">
        <v>190000</v>
      </c>
      <c r="I211" s="35">
        <v>1</v>
      </c>
      <c r="J211" s="49">
        <v>190000</v>
      </c>
      <c r="L211" s="1"/>
    </row>
    <row r="212" spans="1:17" ht="75">
      <c r="A212" s="272"/>
      <c r="B212" s="287"/>
      <c r="C212" s="287"/>
      <c r="D212" s="301"/>
      <c r="E212" s="64" t="s">
        <v>430</v>
      </c>
      <c r="F212" s="167" t="s">
        <v>68</v>
      </c>
      <c r="G212" s="209"/>
      <c r="H212" s="49">
        <v>8836.6</v>
      </c>
      <c r="I212" s="35">
        <v>1</v>
      </c>
      <c r="J212" s="49">
        <v>8836.6</v>
      </c>
      <c r="L212" s="1"/>
    </row>
    <row r="213" spans="1:17" s="170" customFormat="1" ht="56.25">
      <c r="A213" s="272"/>
      <c r="B213" s="287"/>
      <c r="C213" s="287"/>
      <c r="D213" s="301"/>
      <c r="E213" s="167" t="s">
        <v>267</v>
      </c>
      <c r="F213" s="167" t="s">
        <v>68</v>
      </c>
      <c r="G213" s="96">
        <v>1500000</v>
      </c>
      <c r="H213" s="96">
        <v>1500000</v>
      </c>
      <c r="I213" s="35">
        <v>1</v>
      </c>
      <c r="J213" s="96"/>
    </row>
    <row r="214" spans="1:17" s="170" customFormat="1" ht="56.25">
      <c r="A214" s="273"/>
      <c r="B214" s="288"/>
      <c r="C214" s="288"/>
      <c r="D214" s="300"/>
      <c r="E214" s="64" t="s">
        <v>104</v>
      </c>
      <c r="F214" s="167" t="s">
        <v>68</v>
      </c>
      <c r="G214" s="49">
        <v>25220</v>
      </c>
      <c r="H214" s="49">
        <v>25220</v>
      </c>
      <c r="I214" s="35">
        <v>1</v>
      </c>
      <c r="J214" s="49">
        <v>25220</v>
      </c>
    </row>
    <row r="215" spans="1:17" s="170" customFormat="1" ht="95.25" customHeight="1">
      <c r="A215" s="271" t="s">
        <v>45</v>
      </c>
      <c r="B215" s="271" t="s">
        <v>44</v>
      </c>
      <c r="C215" s="271" t="s">
        <v>11</v>
      </c>
      <c r="D215" s="283" t="s">
        <v>46</v>
      </c>
      <c r="E215" s="11" t="s">
        <v>268</v>
      </c>
      <c r="F215" s="11" t="s">
        <v>68</v>
      </c>
      <c r="G215" s="96">
        <f>G216+G233+G234+G235</f>
        <v>11790000</v>
      </c>
      <c r="H215" s="96">
        <f>H216+H233+H234+H235+247395.29</f>
        <v>16537395.289999999</v>
      </c>
      <c r="I215" s="96"/>
      <c r="J215" s="49">
        <f>J216+J233+J234+J235+247395.29</f>
        <v>16537395.289999999</v>
      </c>
      <c r="K215" s="190">
        <f>початковий!G119+'зміни квітень'!G129</f>
        <v>11790000</v>
      </c>
      <c r="L215" s="190">
        <f>початковий!H119+'зміни квітень'!H129</f>
        <v>16537395.289999999</v>
      </c>
      <c r="M215" s="190"/>
      <c r="N215" s="190"/>
      <c r="O215" s="190"/>
      <c r="P215" s="190"/>
    </row>
    <row r="216" spans="1:17" s="170" customFormat="1" ht="37.5">
      <c r="A216" s="272"/>
      <c r="B216" s="272"/>
      <c r="C216" s="272"/>
      <c r="D216" s="284"/>
      <c r="E216" s="167" t="s">
        <v>269</v>
      </c>
      <c r="F216" s="11" t="s">
        <v>68</v>
      </c>
      <c r="G216" s="96">
        <f>G217+G218+G219+G220+G221+G222+G223+G224+G225+G226+G227+G228+G229+G230+G231+G232</f>
        <v>10490000</v>
      </c>
      <c r="H216" s="96">
        <f>H217+H218+H219+H220+H221+H222+H223+H224+H225+H226+H227+H228+H229+H230+H231+H232</f>
        <v>14290000</v>
      </c>
      <c r="I216" s="35">
        <v>1</v>
      </c>
      <c r="J216" s="96">
        <f>J217+J218+J219+J220+J221+J222+J223+J224+J225+J226+J227+J228+J229+J230+J231+J232</f>
        <v>14290000</v>
      </c>
      <c r="K216" s="190">
        <f>K215-G215</f>
        <v>0</v>
      </c>
      <c r="L216" s="190">
        <f>L215-H215</f>
        <v>0</v>
      </c>
      <c r="M216" s="190"/>
      <c r="N216" s="190"/>
      <c r="O216" s="190"/>
      <c r="P216" s="190"/>
      <c r="Q216" s="190"/>
    </row>
    <row r="217" spans="1:17" s="170" customFormat="1">
      <c r="A217" s="272"/>
      <c r="B217" s="272"/>
      <c r="C217" s="272"/>
      <c r="D217" s="284"/>
      <c r="E217" s="45" t="s">
        <v>270</v>
      </c>
      <c r="F217" s="11" t="s">
        <v>68</v>
      </c>
      <c r="G217" s="97">
        <v>250000</v>
      </c>
      <c r="H217" s="97">
        <v>250000</v>
      </c>
      <c r="I217" s="35">
        <v>1</v>
      </c>
      <c r="J217" s="97">
        <v>250000</v>
      </c>
    </row>
    <row r="218" spans="1:17" s="170" customFormat="1" ht="23.25" customHeight="1">
      <c r="A218" s="272"/>
      <c r="B218" s="272"/>
      <c r="C218" s="272"/>
      <c r="D218" s="284"/>
      <c r="E218" s="45" t="s">
        <v>271</v>
      </c>
      <c r="F218" s="11" t="s">
        <v>68</v>
      </c>
      <c r="G218" s="97">
        <v>300000</v>
      </c>
      <c r="H218" s="97">
        <v>300000</v>
      </c>
      <c r="I218" s="35">
        <v>1</v>
      </c>
      <c r="J218" s="97">
        <v>300000</v>
      </c>
    </row>
    <row r="219" spans="1:17" s="170" customFormat="1" hidden="1">
      <c r="A219" s="272"/>
      <c r="B219" s="272"/>
      <c r="C219" s="272"/>
      <c r="D219" s="284"/>
      <c r="E219" s="45" t="s">
        <v>272</v>
      </c>
      <c r="F219" s="11" t="s">
        <v>68</v>
      </c>
      <c r="G219" s="208"/>
      <c r="H219" s="97"/>
      <c r="I219" s="35">
        <v>1</v>
      </c>
      <c r="J219" s="97"/>
    </row>
    <row r="220" spans="1:17" s="170" customFormat="1" ht="37.5" hidden="1">
      <c r="A220" s="272"/>
      <c r="B220" s="272"/>
      <c r="C220" s="272"/>
      <c r="D220" s="284"/>
      <c r="E220" s="45" t="s">
        <v>273</v>
      </c>
      <c r="F220" s="11" t="s">
        <v>68</v>
      </c>
      <c r="G220" s="208"/>
      <c r="H220" s="97"/>
      <c r="I220" s="35">
        <v>1</v>
      </c>
      <c r="J220" s="97"/>
    </row>
    <row r="221" spans="1:17" s="170" customFormat="1" hidden="1">
      <c r="A221" s="272"/>
      <c r="B221" s="272"/>
      <c r="C221" s="272"/>
      <c r="D221" s="284"/>
      <c r="E221" s="45" t="s">
        <v>274</v>
      </c>
      <c r="F221" s="11" t="s">
        <v>68</v>
      </c>
      <c r="G221" s="208"/>
      <c r="H221" s="97"/>
      <c r="I221" s="35">
        <v>1</v>
      </c>
      <c r="J221" s="97"/>
    </row>
    <row r="222" spans="1:17" s="170" customFormat="1">
      <c r="A222" s="272"/>
      <c r="B222" s="272"/>
      <c r="C222" s="272"/>
      <c r="D222" s="284"/>
      <c r="E222" s="45" t="s">
        <v>272</v>
      </c>
      <c r="F222" s="11" t="s">
        <v>68</v>
      </c>
      <c r="G222" s="210"/>
      <c r="H222" s="97">
        <v>1300000</v>
      </c>
      <c r="I222" s="35"/>
      <c r="J222" s="97">
        <v>1300000</v>
      </c>
    </row>
    <row r="223" spans="1:17" s="170" customFormat="1" ht="37.5">
      <c r="A223" s="272"/>
      <c r="B223" s="272"/>
      <c r="C223" s="272"/>
      <c r="D223" s="284"/>
      <c r="E223" s="45" t="s">
        <v>273</v>
      </c>
      <c r="F223" s="11" t="s">
        <v>68</v>
      </c>
      <c r="G223" s="210"/>
      <c r="H223" s="97">
        <v>1300000</v>
      </c>
      <c r="I223" s="35"/>
      <c r="J223" s="97">
        <v>1300000</v>
      </c>
    </row>
    <row r="224" spans="1:17" s="170" customFormat="1">
      <c r="A224" s="272"/>
      <c r="B224" s="272"/>
      <c r="C224" s="272"/>
      <c r="D224" s="284"/>
      <c r="E224" s="45" t="s">
        <v>274</v>
      </c>
      <c r="F224" s="11" t="s">
        <v>68</v>
      </c>
      <c r="G224" s="210"/>
      <c r="H224" s="97">
        <v>1200000</v>
      </c>
      <c r="I224" s="35"/>
      <c r="J224" s="97">
        <v>1200000</v>
      </c>
    </row>
    <row r="225" spans="1:12" s="170" customFormat="1" ht="37.5">
      <c r="A225" s="272"/>
      <c r="B225" s="272"/>
      <c r="C225" s="272"/>
      <c r="D225" s="284"/>
      <c r="E225" s="45" t="s">
        <v>275</v>
      </c>
      <c r="F225" s="11" t="s">
        <v>68</v>
      </c>
      <c r="G225" s="97">
        <v>750000</v>
      </c>
      <c r="H225" s="97">
        <v>750000</v>
      </c>
      <c r="I225" s="35">
        <v>1</v>
      </c>
      <c r="J225" s="97">
        <v>750000</v>
      </c>
    </row>
    <row r="226" spans="1:12" s="170" customFormat="1">
      <c r="A226" s="272"/>
      <c r="B226" s="272"/>
      <c r="C226" s="272"/>
      <c r="D226" s="284"/>
      <c r="E226" s="45" t="s">
        <v>276</v>
      </c>
      <c r="F226" s="11" t="s">
        <v>68</v>
      </c>
      <c r="G226" s="97">
        <v>1341000</v>
      </c>
      <c r="H226" s="97">
        <v>1341000</v>
      </c>
      <c r="I226" s="35">
        <v>1</v>
      </c>
      <c r="J226" s="97">
        <v>1341000</v>
      </c>
    </row>
    <row r="227" spans="1:12" s="170" customFormat="1">
      <c r="A227" s="272"/>
      <c r="B227" s="272"/>
      <c r="C227" s="272"/>
      <c r="D227" s="284"/>
      <c r="E227" s="45" t="s">
        <v>277</v>
      </c>
      <c r="F227" s="11" t="s">
        <v>68</v>
      </c>
      <c r="G227" s="97">
        <v>1500000</v>
      </c>
      <c r="H227" s="97">
        <v>1500000</v>
      </c>
      <c r="I227" s="35">
        <v>1</v>
      </c>
      <c r="J227" s="97">
        <v>1500000</v>
      </c>
    </row>
    <row r="228" spans="1:12" s="170" customFormat="1">
      <c r="A228" s="272"/>
      <c r="B228" s="272"/>
      <c r="C228" s="272"/>
      <c r="D228" s="284"/>
      <c r="E228" s="45" t="s">
        <v>278</v>
      </c>
      <c r="F228" s="11" t="s">
        <v>68</v>
      </c>
      <c r="G228" s="97">
        <v>1208000</v>
      </c>
      <c r="H228" s="97">
        <v>1208000</v>
      </c>
      <c r="I228" s="35">
        <v>1</v>
      </c>
      <c r="J228" s="97">
        <v>1208000</v>
      </c>
    </row>
    <row r="229" spans="1:12" s="170" customFormat="1">
      <c r="A229" s="272"/>
      <c r="B229" s="272"/>
      <c r="C229" s="272"/>
      <c r="D229" s="284"/>
      <c r="E229" s="45" t="s">
        <v>279</v>
      </c>
      <c r="F229" s="11" t="s">
        <v>68</v>
      </c>
      <c r="G229" s="97">
        <v>1052000</v>
      </c>
      <c r="H229" s="97">
        <v>1052000</v>
      </c>
      <c r="I229" s="35">
        <v>1</v>
      </c>
      <c r="J229" s="97">
        <v>1052000</v>
      </c>
    </row>
    <row r="230" spans="1:12" s="170" customFormat="1">
      <c r="A230" s="272"/>
      <c r="B230" s="272"/>
      <c r="C230" s="272"/>
      <c r="D230" s="284"/>
      <c r="E230" s="45" t="s">
        <v>280</v>
      </c>
      <c r="F230" s="11" t="s">
        <v>68</v>
      </c>
      <c r="G230" s="97">
        <v>1500000</v>
      </c>
      <c r="H230" s="97">
        <v>1500000</v>
      </c>
      <c r="I230" s="35">
        <v>1</v>
      </c>
      <c r="J230" s="97">
        <v>1500000</v>
      </c>
    </row>
    <row r="231" spans="1:12" s="170" customFormat="1">
      <c r="A231" s="272"/>
      <c r="B231" s="272"/>
      <c r="C231" s="272"/>
      <c r="D231" s="284"/>
      <c r="E231" s="45" t="s">
        <v>281</v>
      </c>
      <c r="F231" s="11" t="s">
        <v>68</v>
      </c>
      <c r="G231" s="97">
        <v>1389000</v>
      </c>
      <c r="H231" s="97">
        <v>1389000</v>
      </c>
      <c r="I231" s="35">
        <v>1</v>
      </c>
      <c r="J231" s="97">
        <v>1389000</v>
      </c>
    </row>
    <row r="232" spans="1:12" s="170" customFormat="1">
      <c r="A232" s="272"/>
      <c r="B232" s="272"/>
      <c r="C232" s="272"/>
      <c r="D232" s="284"/>
      <c r="E232" s="45" t="s">
        <v>282</v>
      </c>
      <c r="F232" s="11" t="s">
        <v>68</v>
      </c>
      <c r="G232" s="97">
        <v>1200000</v>
      </c>
      <c r="H232" s="97">
        <v>1200000</v>
      </c>
      <c r="I232" s="35">
        <v>1</v>
      </c>
      <c r="J232" s="97">
        <v>1200000</v>
      </c>
    </row>
    <row r="233" spans="1:12" s="170" customFormat="1" ht="21.75" customHeight="1">
      <c r="A233" s="272"/>
      <c r="B233" s="272"/>
      <c r="C233" s="272"/>
      <c r="D233" s="284"/>
      <c r="E233" s="167" t="s">
        <v>283</v>
      </c>
      <c r="F233" s="11" t="s">
        <v>68</v>
      </c>
      <c r="G233" s="96">
        <v>600000</v>
      </c>
      <c r="H233" s="96">
        <v>600000</v>
      </c>
      <c r="I233" s="35">
        <v>1</v>
      </c>
      <c r="J233" s="96">
        <v>600000</v>
      </c>
    </row>
    <row r="234" spans="1:12" ht="115.5" customHeight="1">
      <c r="A234" s="272"/>
      <c r="B234" s="272"/>
      <c r="C234" s="272"/>
      <c r="D234" s="284"/>
      <c r="E234" s="128" t="s">
        <v>345</v>
      </c>
      <c r="F234" s="11" t="s">
        <v>68</v>
      </c>
      <c r="G234" s="209"/>
      <c r="H234" s="49">
        <v>700000</v>
      </c>
      <c r="I234" s="35"/>
      <c r="J234" s="49">
        <v>700000</v>
      </c>
      <c r="L234" s="1"/>
    </row>
    <row r="235" spans="1:12" ht="56.25">
      <c r="A235" s="273"/>
      <c r="B235" s="273"/>
      <c r="C235" s="273"/>
      <c r="D235" s="285"/>
      <c r="E235" s="167" t="s">
        <v>284</v>
      </c>
      <c r="F235" s="11" t="s">
        <v>68</v>
      </c>
      <c r="G235" s="96">
        <v>700000</v>
      </c>
      <c r="H235" s="96">
        <v>700000</v>
      </c>
      <c r="I235" s="35">
        <v>1</v>
      </c>
      <c r="J235" s="96">
        <v>700000</v>
      </c>
      <c r="L235" s="1"/>
    </row>
    <row r="236" spans="1:12" ht="150">
      <c r="A236" s="164" t="s">
        <v>105</v>
      </c>
      <c r="B236" s="164" t="s">
        <v>106</v>
      </c>
      <c r="C236" s="164" t="s">
        <v>11</v>
      </c>
      <c r="D236" s="63" t="s">
        <v>107</v>
      </c>
      <c r="E236" s="167" t="s">
        <v>362</v>
      </c>
      <c r="F236" s="52" t="s">
        <v>68</v>
      </c>
      <c r="G236" s="53">
        <v>1000000</v>
      </c>
      <c r="H236" s="53">
        <v>1000000</v>
      </c>
      <c r="I236" s="35">
        <v>1</v>
      </c>
      <c r="J236" s="49">
        <v>1000000</v>
      </c>
      <c r="L236" s="1"/>
    </row>
    <row r="237" spans="1:12" s="10" customFormat="1">
      <c r="A237" s="271" t="s">
        <v>43</v>
      </c>
      <c r="B237" s="271" t="s">
        <v>42</v>
      </c>
      <c r="C237" s="271" t="s">
        <v>12</v>
      </c>
      <c r="D237" s="297" t="s">
        <v>13</v>
      </c>
      <c r="E237" s="191" t="s">
        <v>470</v>
      </c>
      <c r="F237" s="126"/>
      <c r="G237" s="55">
        <f>G238+G274+G275+G276</f>
        <v>6133624</v>
      </c>
      <c r="H237" s="55">
        <f t="shared" ref="H237:J237" si="11">H238+H274+H275+H276</f>
        <v>6133624</v>
      </c>
      <c r="I237" s="55"/>
      <c r="J237" s="55">
        <f t="shared" si="11"/>
        <v>4297340</v>
      </c>
      <c r="K237" s="179">
        <f>початковий!G136+'зміни квітень'!G136</f>
        <v>6133624</v>
      </c>
      <c r="L237" s="179">
        <f>початковий!H136+'зміни квітень'!H136</f>
        <v>6133624</v>
      </c>
    </row>
    <row r="238" spans="1:12" ht="83.25" customHeight="1">
      <c r="A238" s="272"/>
      <c r="B238" s="272"/>
      <c r="C238" s="272"/>
      <c r="D238" s="297"/>
      <c r="E238" s="192" t="s">
        <v>77</v>
      </c>
      <c r="F238" s="167" t="s">
        <v>68</v>
      </c>
      <c r="G238" s="96">
        <f>G239+G240+G241+G242+G243+G244+G245+G246+G247+G248+G249+G250+G251+G252+G253+G254+G255+G256+G257+G258+G259+G260+G261+G262+G263+G264+G265+G266+G267+G268+G269+G270+G271+G272+G273</f>
        <v>5778624</v>
      </c>
      <c r="H238" s="96">
        <f t="shared" ref="H238:J238" si="12">H239+H240+H241+H242+H243+H244+H245+H246+H247+H248+H249+H250+H251+H252+H253+H254+H255+H256+H257+H258+H259+H260+H261+H262+H263+H264+H265+H266+H267+H268+H269+H270+H271+H272+H273</f>
        <v>5778624</v>
      </c>
      <c r="I238" s="46">
        <v>1</v>
      </c>
      <c r="J238" s="96">
        <f t="shared" si="12"/>
        <v>4237340</v>
      </c>
      <c r="K238" s="142">
        <f>K237-G237</f>
        <v>0</v>
      </c>
      <c r="L238" s="142">
        <f>L237-H237</f>
        <v>0</v>
      </c>
    </row>
    <row r="239" spans="1:12" ht="70.5" customHeight="1">
      <c r="A239" s="272"/>
      <c r="B239" s="272"/>
      <c r="C239" s="272"/>
      <c r="D239" s="297"/>
      <c r="E239" s="196" t="s">
        <v>384</v>
      </c>
      <c r="F239" s="123" t="s">
        <v>68</v>
      </c>
      <c r="G239" s="59">
        <v>72000</v>
      </c>
      <c r="H239" s="59">
        <v>72000</v>
      </c>
      <c r="I239" s="46"/>
      <c r="J239" s="59"/>
      <c r="L239" s="1"/>
    </row>
    <row r="240" spans="1:12" ht="22.5" customHeight="1">
      <c r="A240" s="272"/>
      <c r="B240" s="272"/>
      <c r="C240" s="272"/>
      <c r="D240" s="297"/>
      <c r="E240" s="195" t="s">
        <v>285</v>
      </c>
      <c r="F240" s="45" t="s">
        <v>68</v>
      </c>
      <c r="G240" s="97">
        <v>45000</v>
      </c>
      <c r="H240" s="97">
        <v>45000</v>
      </c>
      <c r="I240" s="46">
        <v>1</v>
      </c>
      <c r="J240" s="97">
        <v>45000</v>
      </c>
      <c r="L240" s="1"/>
    </row>
    <row r="241" spans="1:12" ht="38.25" customHeight="1">
      <c r="A241" s="272"/>
      <c r="B241" s="272"/>
      <c r="C241" s="272"/>
      <c r="D241" s="297"/>
      <c r="E241" s="193" t="s">
        <v>111</v>
      </c>
      <c r="F241" s="45" t="s">
        <v>68</v>
      </c>
      <c r="G241" s="59">
        <v>150000</v>
      </c>
      <c r="H241" s="59">
        <v>150000</v>
      </c>
      <c r="I241" s="46">
        <v>1</v>
      </c>
      <c r="J241" s="59">
        <v>150000</v>
      </c>
      <c r="L241" s="1"/>
    </row>
    <row r="242" spans="1:12" ht="22.5" customHeight="1">
      <c r="A242" s="272"/>
      <c r="B242" s="272"/>
      <c r="C242" s="272"/>
      <c r="D242" s="297"/>
      <c r="E242" s="195" t="s">
        <v>286</v>
      </c>
      <c r="F242" s="45" t="s">
        <v>68</v>
      </c>
      <c r="G242" s="97">
        <v>87500</v>
      </c>
      <c r="H242" s="97">
        <v>87500</v>
      </c>
      <c r="I242" s="46">
        <v>1</v>
      </c>
      <c r="J242" s="97">
        <v>87500</v>
      </c>
      <c r="L242" s="1"/>
    </row>
    <row r="243" spans="1:12" ht="22.5" customHeight="1">
      <c r="A243" s="272"/>
      <c r="B243" s="272"/>
      <c r="C243" s="272"/>
      <c r="D243" s="297"/>
      <c r="E243" s="195" t="s">
        <v>79</v>
      </c>
      <c r="F243" s="45" t="s">
        <v>68</v>
      </c>
      <c r="G243" s="97">
        <f>100000-11800</f>
        <v>88200</v>
      </c>
      <c r="H243" s="97">
        <f>100000-11800</f>
        <v>88200</v>
      </c>
      <c r="I243" s="46">
        <v>1</v>
      </c>
      <c r="J243" s="97">
        <f>100000-11800</f>
        <v>88200</v>
      </c>
      <c r="L243" s="1"/>
    </row>
    <row r="244" spans="1:12" ht="22.5" customHeight="1">
      <c r="A244" s="272"/>
      <c r="B244" s="272"/>
      <c r="C244" s="272"/>
      <c r="D244" s="297"/>
      <c r="E244" s="195" t="s">
        <v>287</v>
      </c>
      <c r="F244" s="45" t="s">
        <v>68</v>
      </c>
      <c r="G244" s="97">
        <v>87500</v>
      </c>
      <c r="H244" s="97">
        <v>87500</v>
      </c>
      <c r="I244" s="46">
        <v>1</v>
      </c>
      <c r="J244" s="97">
        <v>87500</v>
      </c>
      <c r="L244" s="1"/>
    </row>
    <row r="245" spans="1:12" ht="22.5" customHeight="1">
      <c r="A245" s="272"/>
      <c r="B245" s="272"/>
      <c r="C245" s="272"/>
      <c r="D245" s="297"/>
      <c r="E245" s="194" t="s">
        <v>425</v>
      </c>
      <c r="F245" s="45" t="s">
        <v>68</v>
      </c>
      <c r="G245" s="137">
        <v>200000</v>
      </c>
      <c r="H245" s="137">
        <v>200000</v>
      </c>
      <c r="I245" s="46">
        <v>1</v>
      </c>
      <c r="J245" s="137">
        <v>200000</v>
      </c>
      <c r="L245" s="1"/>
    </row>
    <row r="246" spans="1:12" ht="22.5" customHeight="1">
      <c r="A246" s="272"/>
      <c r="B246" s="272"/>
      <c r="C246" s="272"/>
      <c r="D246" s="297"/>
      <c r="E246" s="195" t="s">
        <v>80</v>
      </c>
      <c r="F246" s="45" t="s">
        <v>68</v>
      </c>
      <c r="G246" s="97">
        <f>100000-3690</f>
        <v>96310</v>
      </c>
      <c r="H246" s="97">
        <f>100000-3690</f>
        <v>96310</v>
      </c>
      <c r="I246" s="46">
        <v>1</v>
      </c>
      <c r="J246" s="97">
        <f>100000-3690</f>
        <v>96310</v>
      </c>
      <c r="L246" s="1"/>
    </row>
    <row r="247" spans="1:12" ht="22.5" customHeight="1">
      <c r="A247" s="272"/>
      <c r="B247" s="272"/>
      <c r="C247" s="272"/>
      <c r="D247" s="297"/>
      <c r="E247" s="194" t="s">
        <v>418</v>
      </c>
      <c r="F247" s="45" t="s">
        <v>68</v>
      </c>
      <c r="G247" s="137">
        <v>100000</v>
      </c>
      <c r="H247" s="137">
        <v>100000</v>
      </c>
      <c r="I247" s="46">
        <v>1</v>
      </c>
      <c r="J247" s="137">
        <v>100000</v>
      </c>
      <c r="L247" s="1"/>
    </row>
    <row r="248" spans="1:12" ht="63" customHeight="1">
      <c r="A248" s="272"/>
      <c r="B248" s="272"/>
      <c r="C248" s="272"/>
      <c r="D248" s="297"/>
      <c r="E248" s="196" t="s">
        <v>382</v>
      </c>
      <c r="F248" s="123" t="s">
        <v>68</v>
      </c>
      <c r="G248" s="59">
        <v>117530</v>
      </c>
      <c r="H248" s="59">
        <v>117530</v>
      </c>
      <c r="I248" s="46"/>
      <c r="J248" s="59"/>
      <c r="L248" s="1"/>
    </row>
    <row r="249" spans="1:12" ht="63" customHeight="1">
      <c r="A249" s="272"/>
      <c r="B249" s="272"/>
      <c r="C249" s="272"/>
      <c r="D249" s="297"/>
      <c r="E249" s="194" t="s">
        <v>471</v>
      </c>
      <c r="F249" s="45" t="s">
        <v>68</v>
      </c>
      <c r="G249" s="137">
        <v>90000</v>
      </c>
      <c r="H249" s="137">
        <v>90000</v>
      </c>
      <c r="I249" s="46">
        <v>1</v>
      </c>
      <c r="J249" s="137">
        <v>90000</v>
      </c>
      <c r="L249" s="1"/>
    </row>
    <row r="250" spans="1:12" ht="22.5" customHeight="1">
      <c r="A250" s="272"/>
      <c r="B250" s="272"/>
      <c r="C250" s="272"/>
      <c r="D250" s="297"/>
      <c r="E250" s="195" t="s">
        <v>472</v>
      </c>
      <c r="F250" s="45" t="s">
        <v>68</v>
      </c>
      <c r="G250" s="97">
        <v>90000</v>
      </c>
      <c r="H250" s="97">
        <v>90000</v>
      </c>
      <c r="I250" s="46">
        <v>1</v>
      </c>
      <c r="J250" s="97">
        <v>90000</v>
      </c>
      <c r="L250" s="1"/>
    </row>
    <row r="251" spans="1:12" ht="52.5" customHeight="1">
      <c r="A251" s="272"/>
      <c r="B251" s="272"/>
      <c r="C251" s="272"/>
      <c r="D251" s="297"/>
      <c r="E251" s="193" t="s">
        <v>108</v>
      </c>
      <c r="F251" s="45" t="s">
        <v>68</v>
      </c>
      <c r="G251" s="59">
        <v>36340</v>
      </c>
      <c r="H251" s="59">
        <v>36340</v>
      </c>
      <c r="I251" s="46">
        <v>1</v>
      </c>
      <c r="J251" s="59">
        <v>36340</v>
      </c>
      <c r="L251" s="1"/>
    </row>
    <row r="252" spans="1:12" ht="22.5" customHeight="1">
      <c r="A252" s="272"/>
      <c r="B252" s="272"/>
      <c r="C252" s="272"/>
      <c r="D252" s="297"/>
      <c r="E252" s="195" t="s">
        <v>289</v>
      </c>
      <c r="F252" s="45" t="s">
        <v>68</v>
      </c>
      <c r="G252" s="97">
        <v>135000</v>
      </c>
      <c r="H252" s="97">
        <v>135000</v>
      </c>
      <c r="I252" s="46">
        <v>1</v>
      </c>
      <c r="J252" s="97">
        <v>135000</v>
      </c>
      <c r="L252" s="1"/>
    </row>
    <row r="253" spans="1:12" ht="42.75" customHeight="1">
      <c r="A253" s="272"/>
      <c r="B253" s="272"/>
      <c r="C253" s="272"/>
      <c r="D253" s="297"/>
      <c r="E253" s="195" t="s">
        <v>421</v>
      </c>
      <c r="F253" s="45" t="s">
        <v>68</v>
      </c>
      <c r="G253" s="138">
        <v>541000</v>
      </c>
      <c r="H253" s="138">
        <v>541000</v>
      </c>
      <c r="I253" s="46">
        <v>1</v>
      </c>
      <c r="J253" s="138">
        <v>541000</v>
      </c>
      <c r="L253" s="1"/>
    </row>
    <row r="254" spans="1:12" ht="73.5" customHeight="1">
      <c r="A254" s="272"/>
      <c r="B254" s="272"/>
      <c r="C254" s="272"/>
      <c r="D254" s="297"/>
      <c r="E254" s="196" t="s">
        <v>383</v>
      </c>
      <c r="F254" s="123" t="s">
        <v>68</v>
      </c>
      <c r="G254" s="59">
        <v>222504</v>
      </c>
      <c r="H254" s="59">
        <v>222504</v>
      </c>
      <c r="I254" s="46"/>
      <c r="J254" s="59"/>
      <c r="L254" s="1"/>
    </row>
    <row r="255" spans="1:12" ht="22.5" customHeight="1">
      <c r="A255" s="272"/>
      <c r="B255" s="272"/>
      <c r="C255" s="272"/>
      <c r="D255" s="297"/>
      <c r="E255" s="195" t="s">
        <v>290</v>
      </c>
      <c r="F255" s="45" t="s">
        <v>68</v>
      </c>
      <c r="G255" s="97">
        <v>100000</v>
      </c>
      <c r="H255" s="97">
        <v>100000</v>
      </c>
      <c r="I255" s="46">
        <v>1</v>
      </c>
      <c r="J255" s="97">
        <v>100000</v>
      </c>
      <c r="L255" s="1"/>
    </row>
    <row r="256" spans="1:12" ht="22.5" customHeight="1">
      <c r="A256" s="272"/>
      <c r="B256" s="272"/>
      <c r="C256" s="272"/>
      <c r="D256" s="297"/>
      <c r="E256" s="194" t="s">
        <v>422</v>
      </c>
      <c r="F256" s="45" t="s">
        <v>68</v>
      </c>
      <c r="G256" s="139">
        <v>500000</v>
      </c>
      <c r="H256" s="139">
        <v>500000</v>
      </c>
      <c r="I256" s="46">
        <v>1</v>
      </c>
      <c r="J256" s="139">
        <v>500000</v>
      </c>
      <c r="L256" s="1"/>
    </row>
    <row r="257" spans="1:12" ht="22.5" customHeight="1">
      <c r="A257" s="272"/>
      <c r="B257" s="272"/>
      <c r="C257" s="272"/>
      <c r="D257" s="297"/>
      <c r="E257" s="194" t="s">
        <v>420</v>
      </c>
      <c r="F257" s="45" t="s">
        <v>68</v>
      </c>
      <c r="G257" s="137">
        <v>300000</v>
      </c>
      <c r="H257" s="137">
        <v>300000</v>
      </c>
      <c r="I257" s="46">
        <v>1</v>
      </c>
      <c r="J257" s="137">
        <v>300000</v>
      </c>
      <c r="L257" s="1"/>
    </row>
    <row r="258" spans="1:12" ht="22.5" customHeight="1">
      <c r="A258" s="272"/>
      <c r="B258" s="272"/>
      <c r="C258" s="272"/>
      <c r="D258" s="297"/>
      <c r="E258" s="195" t="s">
        <v>75</v>
      </c>
      <c r="F258" s="45" t="s">
        <v>68</v>
      </c>
      <c r="G258" s="97">
        <f>230000+15490</f>
        <v>245490</v>
      </c>
      <c r="H258" s="97">
        <f>230000+15490</f>
        <v>245490</v>
      </c>
      <c r="I258" s="46">
        <v>1</v>
      </c>
      <c r="J258" s="97">
        <f>230000+15490</f>
        <v>245490</v>
      </c>
      <c r="L258" s="1"/>
    </row>
    <row r="259" spans="1:12" ht="84.75" customHeight="1">
      <c r="A259" s="272"/>
      <c r="B259" s="272"/>
      <c r="C259" s="272"/>
      <c r="D259" s="297"/>
      <c r="E259" s="195" t="s">
        <v>353</v>
      </c>
      <c r="F259" s="45" t="s">
        <v>68</v>
      </c>
      <c r="G259" s="59">
        <v>193830</v>
      </c>
      <c r="H259" s="59">
        <v>193830</v>
      </c>
      <c r="I259" s="46">
        <v>1</v>
      </c>
      <c r="J259" s="59"/>
      <c r="L259" s="1"/>
    </row>
    <row r="260" spans="1:12" ht="22.5" customHeight="1">
      <c r="A260" s="272"/>
      <c r="B260" s="272"/>
      <c r="C260" s="272"/>
      <c r="D260" s="297"/>
      <c r="E260" s="195" t="s">
        <v>291</v>
      </c>
      <c r="F260" s="45" t="s">
        <v>68</v>
      </c>
      <c r="G260" s="97">
        <v>135000</v>
      </c>
      <c r="H260" s="97">
        <v>135000</v>
      </c>
      <c r="I260" s="46">
        <v>1</v>
      </c>
      <c r="J260" s="97">
        <v>135000</v>
      </c>
      <c r="L260" s="1"/>
    </row>
    <row r="261" spans="1:12" ht="37.5" customHeight="1">
      <c r="A261" s="272"/>
      <c r="B261" s="272"/>
      <c r="C261" s="272"/>
      <c r="D261" s="297"/>
      <c r="E261" s="194" t="s">
        <v>427</v>
      </c>
      <c r="F261" s="45" t="s">
        <v>68</v>
      </c>
      <c r="G261" s="137">
        <v>100000</v>
      </c>
      <c r="H261" s="137">
        <v>100000</v>
      </c>
      <c r="I261" s="46">
        <v>1</v>
      </c>
      <c r="J261" s="137">
        <v>100000</v>
      </c>
      <c r="L261" s="1"/>
    </row>
    <row r="262" spans="1:12" ht="37.5" customHeight="1">
      <c r="A262" s="272"/>
      <c r="B262" s="272"/>
      <c r="C262" s="272"/>
      <c r="D262" s="297"/>
      <c r="E262" s="194" t="s">
        <v>428</v>
      </c>
      <c r="F262" s="45" t="s">
        <v>68</v>
      </c>
      <c r="G262" s="137">
        <v>200000</v>
      </c>
      <c r="H262" s="137">
        <v>200000</v>
      </c>
      <c r="I262" s="46">
        <v>1</v>
      </c>
      <c r="J262" s="137">
        <v>200000</v>
      </c>
      <c r="L262" s="1"/>
    </row>
    <row r="263" spans="1:12" ht="67.5" customHeight="1">
      <c r="A263" s="272"/>
      <c r="B263" s="272"/>
      <c r="C263" s="272"/>
      <c r="D263" s="297"/>
      <c r="E263" s="196" t="s">
        <v>379</v>
      </c>
      <c r="F263" s="123" t="s">
        <v>68</v>
      </c>
      <c r="G263" s="59">
        <v>265930</v>
      </c>
      <c r="H263" s="59">
        <v>265930</v>
      </c>
      <c r="I263" s="46"/>
      <c r="J263" s="59"/>
      <c r="L263" s="1"/>
    </row>
    <row r="264" spans="1:12" ht="80.25" customHeight="1">
      <c r="A264" s="272"/>
      <c r="B264" s="272"/>
      <c r="C264" s="272"/>
      <c r="D264" s="297"/>
      <c r="E264" s="196" t="s">
        <v>381</v>
      </c>
      <c r="F264" s="123" t="s">
        <v>68</v>
      </c>
      <c r="G264" s="59">
        <v>265930</v>
      </c>
      <c r="H264" s="59">
        <v>265930</v>
      </c>
      <c r="I264" s="46"/>
      <c r="J264" s="59"/>
      <c r="L264" s="1"/>
    </row>
    <row r="265" spans="1:12" ht="32.25" customHeight="1">
      <c r="A265" s="272"/>
      <c r="B265" s="272"/>
      <c r="C265" s="272"/>
      <c r="D265" s="297"/>
      <c r="E265" s="194" t="s">
        <v>424</v>
      </c>
      <c r="F265" s="45" t="s">
        <v>68</v>
      </c>
      <c r="G265" s="137">
        <v>100000</v>
      </c>
      <c r="H265" s="137">
        <v>100000</v>
      </c>
      <c r="I265" s="46">
        <v>1</v>
      </c>
      <c r="J265" s="137">
        <v>100000</v>
      </c>
      <c r="L265" s="1"/>
    </row>
    <row r="266" spans="1:12" ht="32.25" customHeight="1">
      <c r="A266" s="272"/>
      <c r="B266" s="272"/>
      <c r="C266" s="272"/>
      <c r="D266" s="297"/>
      <c r="E266" s="194" t="s">
        <v>426</v>
      </c>
      <c r="F266" s="45" t="s">
        <v>68</v>
      </c>
      <c r="G266" s="137">
        <v>200000</v>
      </c>
      <c r="H266" s="137">
        <v>200000</v>
      </c>
      <c r="I266" s="46">
        <v>1</v>
      </c>
      <c r="J266" s="137">
        <v>200000</v>
      </c>
      <c r="L266" s="1"/>
    </row>
    <row r="267" spans="1:12" ht="32.25" customHeight="1">
      <c r="A267" s="272"/>
      <c r="B267" s="272"/>
      <c r="C267" s="272"/>
      <c r="D267" s="297"/>
      <c r="E267" s="194" t="s">
        <v>423</v>
      </c>
      <c r="F267" s="45" t="s">
        <v>68</v>
      </c>
      <c r="G267" s="137">
        <v>300000</v>
      </c>
      <c r="H267" s="137">
        <v>300000</v>
      </c>
      <c r="I267" s="46">
        <v>1</v>
      </c>
      <c r="J267" s="137">
        <v>300000</v>
      </c>
      <c r="L267" s="1"/>
    </row>
    <row r="268" spans="1:12" ht="95.25" customHeight="1">
      <c r="A268" s="272"/>
      <c r="B268" s="272"/>
      <c r="C268" s="272"/>
      <c r="D268" s="297"/>
      <c r="E268" s="195" t="s">
        <v>354</v>
      </c>
      <c r="F268" s="45" t="s">
        <v>68</v>
      </c>
      <c r="G268" s="59">
        <v>16560</v>
      </c>
      <c r="H268" s="59">
        <v>16560</v>
      </c>
      <c r="I268" s="46">
        <v>1</v>
      </c>
      <c r="J268" s="59"/>
      <c r="L268" s="1"/>
    </row>
    <row r="269" spans="1:12" ht="38.25" customHeight="1">
      <c r="A269" s="272"/>
      <c r="B269" s="272"/>
      <c r="C269" s="272"/>
      <c r="D269" s="297"/>
      <c r="E269" s="193" t="s">
        <v>109</v>
      </c>
      <c r="F269" s="45" t="s">
        <v>68</v>
      </c>
      <c r="G269" s="59">
        <v>100000</v>
      </c>
      <c r="H269" s="59">
        <v>100000</v>
      </c>
      <c r="I269" s="46">
        <v>1</v>
      </c>
      <c r="J269" s="59">
        <v>100000</v>
      </c>
      <c r="L269" s="1"/>
    </row>
    <row r="270" spans="1:12" ht="82.5" customHeight="1">
      <c r="A270" s="272"/>
      <c r="B270" s="272"/>
      <c r="C270" s="272"/>
      <c r="D270" s="297"/>
      <c r="E270" s="196" t="s">
        <v>380</v>
      </c>
      <c r="F270" s="123" t="s">
        <v>68</v>
      </c>
      <c r="G270" s="59">
        <v>250000</v>
      </c>
      <c r="H270" s="59">
        <v>250000</v>
      </c>
      <c r="I270" s="46"/>
      <c r="J270" s="59"/>
      <c r="L270" s="1"/>
    </row>
    <row r="271" spans="1:12" ht="82.5" customHeight="1">
      <c r="A271" s="272"/>
      <c r="B271" s="272"/>
      <c r="C271" s="272"/>
      <c r="D271" s="297"/>
      <c r="E271" s="196" t="s">
        <v>386</v>
      </c>
      <c r="F271" s="123" t="s">
        <v>68</v>
      </c>
      <c r="G271" s="59">
        <v>137000</v>
      </c>
      <c r="H271" s="59">
        <v>137000</v>
      </c>
      <c r="I271" s="46"/>
      <c r="J271" s="59"/>
      <c r="L271" s="1"/>
    </row>
    <row r="272" spans="1:12" ht="42.75" customHeight="1">
      <c r="A272" s="272"/>
      <c r="B272" s="272"/>
      <c r="C272" s="272"/>
      <c r="D272" s="297"/>
      <c r="E272" s="193" t="s">
        <v>110</v>
      </c>
      <c r="F272" s="45" t="s">
        <v>68</v>
      </c>
      <c r="G272" s="59">
        <v>120000</v>
      </c>
      <c r="H272" s="59">
        <v>120000</v>
      </c>
      <c r="I272" s="46">
        <v>1</v>
      </c>
      <c r="J272" s="59">
        <v>120000</v>
      </c>
      <c r="L272" s="1"/>
    </row>
    <row r="273" spans="1:14" ht="22.5" customHeight="1">
      <c r="A273" s="272"/>
      <c r="B273" s="272"/>
      <c r="C273" s="272"/>
      <c r="D273" s="297"/>
      <c r="E273" s="195" t="s">
        <v>292</v>
      </c>
      <c r="F273" s="45" t="s">
        <v>68</v>
      </c>
      <c r="G273" s="97">
        <v>90000</v>
      </c>
      <c r="H273" s="97">
        <v>90000</v>
      </c>
      <c r="I273" s="46">
        <v>1</v>
      </c>
      <c r="J273" s="97">
        <v>90000</v>
      </c>
      <c r="L273" s="1"/>
    </row>
    <row r="274" spans="1:14" ht="92.25" customHeight="1">
      <c r="A274" s="272"/>
      <c r="B274" s="272"/>
      <c r="C274" s="272"/>
      <c r="D274" s="297"/>
      <c r="E274" s="148" t="s">
        <v>429</v>
      </c>
      <c r="F274" s="125" t="s">
        <v>68</v>
      </c>
      <c r="G274" s="49">
        <v>30000</v>
      </c>
      <c r="H274" s="49">
        <v>30000</v>
      </c>
      <c r="I274" s="35"/>
      <c r="J274" s="49">
        <v>30000</v>
      </c>
      <c r="L274" s="1"/>
    </row>
    <row r="275" spans="1:14" ht="100.5" customHeight="1">
      <c r="A275" s="272"/>
      <c r="B275" s="272"/>
      <c r="C275" s="272"/>
      <c r="D275" s="297"/>
      <c r="E275" s="148" t="s">
        <v>444</v>
      </c>
      <c r="F275" s="125" t="s">
        <v>68</v>
      </c>
      <c r="G275" s="49">
        <v>30000</v>
      </c>
      <c r="H275" s="49">
        <v>30000</v>
      </c>
      <c r="I275" s="35"/>
      <c r="J275" s="49">
        <v>30000</v>
      </c>
      <c r="L275" s="1"/>
    </row>
    <row r="276" spans="1:14" ht="155.25" customHeight="1">
      <c r="A276" s="273"/>
      <c r="B276" s="273"/>
      <c r="C276" s="273"/>
      <c r="D276" s="297"/>
      <c r="E276" s="148" t="s">
        <v>385</v>
      </c>
      <c r="F276" s="125" t="s">
        <v>68</v>
      </c>
      <c r="G276" s="49">
        <v>295000</v>
      </c>
      <c r="H276" s="49">
        <v>295000</v>
      </c>
      <c r="I276" s="35"/>
      <c r="J276" s="49"/>
      <c r="L276" s="1"/>
    </row>
    <row r="277" spans="1:14" s="10" customFormat="1" ht="41.25" customHeight="1">
      <c r="A277" s="5" t="s">
        <v>4</v>
      </c>
      <c r="B277" s="5"/>
      <c r="C277" s="5"/>
      <c r="D277" s="268" t="s">
        <v>9</v>
      </c>
      <c r="E277" s="269"/>
      <c r="F277" s="163"/>
      <c r="G277" s="80">
        <f>G278</f>
        <v>713581263</v>
      </c>
      <c r="H277" s="80">
        <f>H278</f>
        <v>65530900</v>
      </c>
      <c r="I277" s="31"/>
      <c r="J277" s="80">
        <f>J278</f>
        <v>34896400</v>
      </c>
    </row>
    <row r="278" spans="1:14" s="10" customFormat="1" ht="41.25" customHeight="1">
      <c r="A278" s="5" t="s">
        <v>5</v>
      </c>
      <c r="B278" s="5"/>
      <c r="C278" s="5"/>
      <c r="D278" s="268" t="s">
        <v>9</v>
      </c>
      <c r="E278" s="269"/>
      <c r="F278" s="163"/>
      <c r="G278" s="80">
        <f>G279+G280+G281+G298</f>
        <v>713581263</v>
      </c>
      <c r="H278" s="80">
        <f>H279+H280+H281+H298</f>
        <v>65530900</v>
      </c>
      <c r="I278" s="31"/>
      <c r="J278" s="80">
        <f>J279+J280+J281+J298</f>
        <v>34896400</v>
      </c>
    </row>
    <row r="279" spans="1:14" ht="79.5" customHeight="1">
      <c r="A279" s="6" t="s">
        <v>293</v>
      </c>
      <c r="B279" s="6" t="s">
        <v>161</v>
      </c>
      <c r="C279" s="6" t="s">
        <v>141</v>
      </c>
      <c r="D279" s="7" t="s">
        <v>162</v>
      </c>
      <c r="E279" s="22" t="s">
        <v>3</v>
      </c>
      <c r="F279" s="22" t="s">
        <v>68</v>
      </c>
      <c r="G279" s="81">
        <v>15000</v>
      </c>
      <c r="H279" s="81">
        <v>15000</v>
      </c>
      <c r="I279" s="34">
        <v>1</v>
      </c>
      <c r="J279" s="81">
        <v>15000</v>
      </c>
      <c r="L279" s="1"/>
    </row>
    <row r="280" spans="1:14" ht="56.25">
      <c r="A280" s="6" t="s">
        <v>294</v>
      </c>
      <c r="B280" s="6" t="s">
        <v>295</v>
      </c>
      <c r="C280" s="6" t="s">
        <v>7</v>
      </c>
      <c r="D280" s="7" t="s">
        <v>296</v>
      </c>
      <c r="E280" s="98" t="s">
        <v>297</v>
      </c>
      <c r="F280" s="98" t="s">
        <v>68</v>
      </c>
      <c r="G280" s="96">
        <v>200000</v>
      </c>
      <c r="H280" s="96">
        <v>200000</v>
      </c>
      <c r="I280" s="35">
        <v>1</v>
      </c>
      <c r="J280" s="96">
        <v>200000</v>
      </c>
      <c r="L280" s="1"/>
    </row>
    <row r="281" spans="1:14" ht="18.75" customHeight="1">
      <c r="A281" s="271" t="s">
        <v>54</v>
      </c>
      <c r="B281" s="271" t="s">
        <v>52</v>
      </c>
      <c r="C281" s="271" t="s">
        <v>10</v>
      </c>
      <c r="D281" s="283" t="s">
        <v>35</v>
      </c>
      <c r="E281" s="28" t="s">
        <v>55</v>
      </c>
      <c r="F281" s="28"/>
      <c r="G281" s="39">
        <f>SUM(G282:G297)</f>
        <v>558152239</v>
      </c>
      <c r="H281" s="39">
        <f t="shared" ref="H281:J281" si="13">SUM(H282:H297)</f>
        <v>55315900</v>
      </c>
      <c r="I281" s="39"/>
      <c r="J281" s="39">
        <f t="shared" si="13"/>
        <v>24681400</v>
      </c>
      <c r="K281" s="142"/>
      <c r="L281" s="142">
        <f>початковий!H148+'зміни квітень'!H168</f>
        <v>65530900</v>
      </c>
      <c r="M281" s="142">
        <f>початковий!I148+'зміни квітень'!I168</f>
        <v>0</v>
      </c>
    </row>
    <row r="282" spans="1:14" ht="112.5">
      <c r="A282" s="272"/>
      <c r="B282" s="272"/>
      <c r="C282" s="272"/>
      <c r="D282" s="284"/>
      <c r="E282" s="99" t="s">
        <v>298</v>
      </c>
      <c r="F282" s="98" t="s">
        <v>299</v>
      </c>
      <c r="G282" s="100">
        <v>210534207</v>
      </c>
      <c r="H282" s="91">
        <f>20000000-10000000</f>
        <v>10000000</v>
      </c>
      <c r="I282" s="79">
        <v>0.40699999999999997</v>
      </c>
      <c r="J282" s="91">
        <f>20000000-10000000</f>
        <v>10000000</v>
      </c>
      <c r="K282" s="142"/>
      <c r="L282" s="142">
        <f>L281-H278</f>
        <v>0</v>
      </c>
      <c r="M282" s="142">
        <f t="shared" ref="M282:N282" si="14">M281-I278</f>
        <v>0</v>
      </c>
      <c r="N282" s="142">
        <f t="shared" si="14"/>
        <v>-34896400</v>
      </c>
    </row>
    <row r="283" spans="1:14" ht="75">
      <c r="A283" s="272"/>
      <c r="B283" s="272"/>
      <c r="C283" s="272"/>
      <c r="D283" s="284"/>
      <c r="E283" s="166" t="s">
        <v>69</v>
      </c>
      <c r="F283" s="11" t="s">
        <v>71</v>
      </c>
      <c r="G283" s="82">
        <v>217029540</v>
      </c>
      <c r="H283" s="91">
        <f>570000+5200000</f>
        <v>5770000</v>
      </c>
      <c r="I283" s="79">
        <v>0.58299999999999996</v>
      </c>
      <c r="J283" s="91">
        <f>570000+2200000</f>
        <v>2770000</v>
      </c>
      <c r="L283" s="1"/>
    </row>
    <row r="284" spans="1:14" ht="56.25">
      <c r="A284" s="272"/>
      <c r="B284" s="272"/>
      <c r="C284" s="272"/>
      <c r="D284" s="284"/>
      <c r="E284" s="255" t="s">
        <v>300</v>
      </c>
      <c r="F284" s="11" t="s">
        <v>301</v>
      </c>
      <c r="G284" s="102">
        <f>8000000+5005100</f>
        <v>13005100</v>
      </c>
      <c r="H284" s="91">
        <v>8000000</v>
      </c>
      <c r="I284" s="103">
        <v>1</v>
      </c>
      <c r="J284" s="91">
        <v>3000000</v>
      </c>
      <c r="L284" s="1"/>
    </row>
    <row r="285" spans="1:14" ht="75">
      <c r="A285" s="272"/>
      <c r="B285" s="272"/>
      <c r="C285" s="272"/>
      <c r="D285" s="284"/>
      <c r="E285" s="166" t="s">
        <v>302</v>
      </c>
      <c r="F285" s="11" t="s">
        <v>68</v>
      </c>
      <c r="G285" s="82">
        <v>100000</v>
      </c>
      <c r="H285" s="91">
        <v>100000</v>
      </c>
      <c r="I285" s="103">
        <v>1</v>
      </c>
      <c r="J285" s="91">
        <v>100000</v>
      </c>
      <c r="L285" s="1"/>
    </row>
    <row r="286" spans="1:14" ht="141.75" customHeight="1">
      <c r="A286" s="272"/>
      <c r="B286" s="272"/>
      <c r="C286" s="272"/>
      <c r="D286" s="284"/>
      <c r="E286" s="166" t="s">
        <v>303</v>
      </c>
      <c r="F286" s="11" t="s">
        <v>301</v>
      </c>
      <c r="G286" s="82">
        <v>16283392</v>
      </c>
      <c r="H286" s="91">
        <f>9655400-3480900</f>
        <v>6174500</v>
      </c>
      <c r="I286" s="103">
        <v>1</v>
      </c>
      <c r="J286" s="91"/>
      <c r="L286" s="1"/>
    </row>
    <row r="287" spans="1:14" ht="202.5" customHeight="1">
      <c r="A287" s="272"/>
      <c r="B287" s="272"/>
      <c r="C287" s="272"/>
      <c r="D287" s="284"/>
      <c r="E287" s="166" t="s">
        <v>448</v>
      </c>
      <c r="F287" s="168" t="s">
        <v>68</v>
      </c>
      <c r="G287" s="56">
        <v>7700000</v>
      </c>
      <c r="H287" s="60">
        <v>770000</v>
      </c>
      <c r="I287" s="79">
        <v>1</v>
      </c>
      <c r="J287" s="60"/>
      <c r="L287" s="1"/>
    </row>
    <row r="288" spans="1:14" ht="135.75" customHeight="1">
      <c r="A288" s="272"/>
      <c r="B288" s="272"/>
      <c r="C288" s="272"/>
      <c r="D288" s="284"/>
      <c r="E288" s="166" t="s">
        <v>304</v>
      </c>
      <c r="F288" s="11" t="s">
        <v>68</v>
      </c>
      <c r="G288" s="211">
        <f>14000000</f>
        <v>14000000</v>
      </c>
      <c r="H288" s="91">
        <f>14000000-2600000-1690000</f>
        <v>9710000</v>
      </c>
      <c r="I288" s="79"/>
      <c r="J288" s="91"/>
      <c r="L288" s="1"/>
    </row>
    <row r="289" spans="1:12" ht="86.25" customHeight="1">
      <c r="A289" s="272"/>
      <c r="B289" s="272"/>
      <c r="C289" s="272"/>
      <c r="D289" s="284"/>
      <c r="E289" s="166" t="s">
        <v>305</v>
      </c>
      <c r="F289" s="11" t="s">
        <v>68</v>
      </c>
      <c r="G289" s="82">
        <v>2600000</v>
      </c>
      <c r="H289" s="91">
        <v>2600000</v>
      </c>
      <c r="I289" s="103">
        <v>1</v>
      </c>
      <c r="J289" s="91"/>
      <c r="L289" s="1"/>
    </row>
    <row r="290" spans="1:12" ht="169.5" customHeight="1">
      <c r="A290" s="272"/>
      <c r="B290" s="272"/>
      <c r="C290" s="272"/>
      <c r="D290" s="284"/>
      <c r="E290" s="166" t="s">
        <v>450</v>
      </c>
      <c r="F290" s="168" t="s">
        <v>68</v>
      </c>
      <c r="G290" s="56">
        <v>2600000</v>
      </c>
      <c r="H290" s="60">
        <v>260000</v>
      </c>
      <c r="I290" s="79">
        <v>1</v>
      </c>
      <c r="J290" s="60"/>
      <c r="L290" s="1"/>
    </row>
    <row r="291" spans="1:12" ht="169.5" customHeight="1">
      <c r="A291" s="272"/>
      <c r="B291" s="272"/>
      <c r="C291" s="272"/>
      <c r="D291" s="284"/>
      <c r="E291" s="166" t="s">
        <v>449</v>
      </c>
      <c r="F291" s="168" t="s">
        <v>68</v>
      </c>
      <c r="G291" s="56">
        <v>3400000</v>
      </c>
      <c r="H291" s="60">
        <v>340000</v>
      </c>
      <c r="I291" s="79">
        <v>1</v>
      </c>
      <c r="J291" s="60"/>
      <c r="L291" s="1"/>
    </row>
    <row r="292" spans="1:12" s="170" customFormat="1" ht="149.25" customHeight="1">
      <c r="A292" s="272"/>
      <c r="B292" s="272"/>
      <c r="C292" s="272"/>
      <c r="D292" s="284"/>
      <c r="E292" s="166" t="s">
        <v>451</v>
      </c>
      <c r="F292" s="168" t="s">
        <v>68</v>
      </c>
      <c r="G292" s="56">
        <v>3200000</v>
      </c>
      <c r="H292" s="60">
        <v>320000</v>
      </c>
      <c r="I292" s="79">
        <v>1</v>
      </c>
      <c r="J292" s="60"/>
    </row>
    <row r="293" spans="1:12" ht="96.75" customHeight="1">
      <c r="A293" s="272"/>
      <c r="B293" s="272"/>
      <c r="C293" s="272"/>
      <c r="D293" s="284"/>
      <c r="E293" s="166" t="s">
        <v>306</v>
      </c>
      <c r="F293" s="11" t="s">
        <v>307</v>
      </c>
      <c r="G293" s="82">
        <v>61000000</v>
      </c>
      <c r="H293" s="91">
        <f>2671400-100000</f>
        <v>2571400</v>
      </c>
      <c r="I293" s="79">
        <v>4.2000000000000003E-2</v>
      </c>
      <c r="J293" s="91">
        <v>2111400</v>
      </c>
      <c r="L293" s="1"/>
    </row>
    <row r="294" spans="1:12" ht="157.5" customHeight="1">
      <c r="A294" s="272"/>
      <c r="B294" s="272"/>
      <c r="C294" s="272"/>
      <c r="D294" s="284"/>
      <c r="E294" s="262" t="s">
        <v>352</v>
      </c>
      <c r="F294" s="168"/>
      <c r="G294" s="212"/>
      <c r="H294" s="60">
        <v>2000000</v>
      </c>
      <c r="I294" s="79"/>
      <c r="J294" s="60"/>
      <c r="L294" s="1"/>
    </row>
    <row r="295" spans="1:12" ht="64.5" customHeight="1">
      <c r="A295" s="272"/>
      <c r="B295" s="272"/>
      <c r="C295" s="272"/>
      <c r="D295" s="284"/>
      <c r="E295" s="166" t="s">
        <v>308</v>
      </c>
      <c r="F295" s="11" t="s">
        <v>68</v>
      </c>
      <c r="G295" s="82">
        <v>400000</v>
      </c>
      <c r="H295" s="91">
        <v>400000</v>
      </c>
      <c r="I295" s="79">
        <v>1</v>
      </c>
      <c r="J295" s="91">
        <v>400000</v>
      </c>
      <c r="L295" s="1"/>
    </row>
    <row r="296" spans="1:12" ht="84.75" customHeight="1">
      <c r="A296" s="272"/>
      <c r="B296" s="272"/>
      <c r="C296" s="272"/>
      <c r="D296" s="284"/>
      <c r="E296" s="166" t="s">
        <v>309</v>
      </c>
      <c r="F296" s="11" t="s">
        <v>68</v>
      </c>
      <c r="G296" s="82">
        <v>300000</v>
      </c>
      <c r="H296" s="91">
        <v>300000</v>
      </c>
      <c r="I296" s="79">
        <v>1</v>
      </c>
      <c r="J296" s="91">
        <v>300000</v>
      </c>
      <c r="L296" s="1"/>
    </row>
    <row r="297" spans="1:12" ht="42" customHeight="1">
      <c r="A297" s="273"/>
      <c r="B297" s="273"/>
      <c r="C297" s="273"/>
      <c r="D297" s="285"/>
      <c r="E297" s="252" t="s">
        <v>310</v>
      </c>
      <c r="F297" s="11" t="s">
        <v>68</v>
      </c>
      <c r="G297" s="82">
        <v>6000000</v>
      </c>
      <c r="H297" s="91">
        <v>6000000</v>
      </c>
      <c r="I297" s="79">
        <v>1</v>
      </c>
      <c r="J297" s="91">
        <v>6000000</v>
      </c>
      <c r="L297" s="1"/>
    </row>
    <row r="298" spans="1:12" ht="42" customHeight="1">
      <c r="A298" s="6" t="s">
        <v>311</v>
      </c>
      <c r="B298" s="6" t="s">
        <v>312</v>
      </c>
      <c r="C298" s="6" t="s">
        <v>313</v>
      </c>
      <c r="D298" s="7" t="s">
        <v>314</v>
      </c>
      <c r="E298" s="11" t="s">
        <v>315</v>
      </c>
      <c r="F298" s="11" t="s">
        <v>316</v>
      </c>
      <c r="G298" s="82">
        <v>155214024</v>
      </c>
      <c r="H298" s="91">
        <f>5000000+5000000</f>
        <v>10000000</v>
      </c>
      <c r="I298" s="79">
        <v>0.74199999999999999</v>
      </c>
      <c r="J298" s="91">
        <f>5000000+5000000</f>
        <v>10000000</v>
      </c>
      <c r="L298" s="1"/>
    </row>
    <row r="299" spans="1:12" s="10" customFormat="1" ht="34.5" customHeight="1">
      <c r="A299" s="5" t="s">
        <v>317</v>
      </c>
      <c r="B299" s="9"/>
      <c r="C299" s="9"/>
      <c r="D299" s="268" t="s">
        <v>318</v>
      </c>
      <c r="E299" s="269"/>
      <c r="F299" s="163"/>
      <c r="G299" s="80">
        <f>G300</f>
        <v>2955000</v>
      </c>
      <c r="H299" s="80">
        <f>H300</f>
        <v>2955000</v>
      </c>
      <c r="I299" s="31"/>
      <c r="J299" s="80">
        <f>J300</f>
        <v>2955000</v>
      </c>
    </row>
    <row r="300" spans="1:12" s="10" customFormat="1" ht="36.75" customHeight="1">
      <c r="A300" s="5" t="s">
        <v>319</v>
      </c>
      <c r="B300" s="9"/>
      <c r="C300" s="9"/>
      <c r="D300" s="268" t="s">
        <v>318</v>
      </c>
      <c r="E300" s="269"/>
      <c r="F300" s="163"/>
      <c r="G300" s="80">
        <f>G301+G302+G303+G304+G305+G306+G307</f>
        <v>2955000</v>
      </c>
      <c r="H300" s="80">
        <f>H301+H302+H303+H304+H305+H306+H307</f>
        <v>2955000</v>
      </c>
      <c r="I300" s="80"/>
      <c r="J300" s="80">
        <f>J301+J302+J303+J304+J305+J306+J307</f>
        <v>2955000</v>
      </c>
    </row>
    <row r="301" spans="1:12" ht="93.75">
      <c r="A301" s="6" t="s">
        <v>320</v>
      </c>
      <c r="B301" s="6" t="s">
        <v>161</v>
      </c>
      <c r="C301" s="6" t="s">
        <v>141</v>
      </c>
      <c r="D301" s="7" t="s">
        <v>162</v>
      </c>
      <c r="E301" s="22" t="s">
        <v>3</v>
      </c>
      <c r="F301" s="22" t="s">
        <v>68</v>
      </c>
      <c r="G301" s="81">
        <f>12000+18000</f>
        <v>30000</v>
      </c>
      <c r="H301" s="81">
        <f>12000+18000</f>
        <v>30000</v>
      </c>
      <c r="I301" s="34">
        <v>1</v>
      </c>
      <c r="J301" s="81">
        <f>12000+18000</f>
        <v>30000</v>
      </c>
      <c r="L301" s="1"/>
    </row>
    <row r="302" spans="1:12" ht="37.5">
      <c r="A302" s="6" t="s">
        <v>321</v>
      </c>
      <c r="B302" s="25" t="s">
        <v>32</v>
      </c>
      <c r="C302" s="25" t="s">
        <v>33</v>
      </c>
      <c r="D302" s="104" t="s">
        <v>34</v>
      </c>
      <c r="E302" s="22" t="s">
        <v>322</v>
      </c>
      <c r="F302" s="22" t="s">
        <v>68</v>
      </c>
      <c r="G302" s="82">
        <v>100000</v>
      </c>
      <c r="H302" s="91">
        <v>100000</v>
      </c>
      <c r="I302" s="103">
        <v>1</v>
      </c>
      <c r="J302" s="91">
        <v>100000</v>
      </c>
      <c r="L302" s="1"/>
    </row>
    <row r="303" spans="1:12" ht="75">
      <c r="A303" s="6" t="s">
        <v>323</v>
      </c>
      <c r="B303" s="25" t="s">
        <v>52</v>
      </c>
      <c r="C303" s="25" t="s">
        <v>10</v>
      </c>
      <c r="D303" s="11" t="s">
        <v>35</v>
      </c>
      <c r="E303" s="22" t="s">
        <v>324</v>
      </c>
      <c r="F303" s="22" t="s">
        <v>68</v>
      </c>
      <c r="G303" s="82">
        <v>1625000</v>
      </c>
      <c r="H303" s="91">
        <v>1625000</v>
      </c>
      <c r="I303" s="103">
        <v>1</v>
      </c>
      <c r="J303" s="91">
        <v>1625000</v>
      </c>
      <c r="L303" s="1"/>
    </row>
    <row r="304" spans="1:12" ht="56.25">
      <c r="A304" s="6" t="s">
        <v>325</v>
      </c>
      <c r="B304" s="25" t="s">
        <v>326</v>
      </c>
      <c r="C304" s="25" t="s">
        <v>10</v>
      </c>
      <c r="D304" s="11" t="s">
        <v>327</v>
      </c>
      <c r="E304" s="22" t="s">
        <v>3</v>
      </c>
      <c r="F304" s="22" t="s">
        <v>68</v>
      </c>
      <c r="G304" s="82">
        <v>300000</v>
      </c>
      <c r="H304" s="91">
        <v>300000</v>
      </c>
      <c r="I304" s="103">
        <v>1</v>
      </c>
      <c r="J304" s="91">
        <v>300000</v>
      </c>
      <c r="L304" s="1"/>
    </row>
    <row r="305" spans="1:14" ht="112.5">
      <c r="A305" s="6" t="s">
        <v>328</v>
      </c>
      <c r="B305" s="25" t="s">
        <v>329</v>
      </c>
      <c r="C305" s="25" t="s">
        <v>10</v>
      </c>
      <c r="D305" s="11" t="s">
        <v>330</v>
      </c>
      <c r="E305" s="22" t="s">
        <v>3</v>
      </c>
      <c r="F305" s="83" t="s">
        <v>68</v>
      </c>
      <c r="G305" s="82">
        <v>300000</v>
      </c>
      <c r="H305" s="91">
        <v>300000</v>
      </c>
      <c r="I305" s="103">
        <v>1</v>
      </c>
      <c r="J305" s="91">
        <v>300000</v>
      </c>
      <c r="L305" s="1"/>
    </row>
    <row r="306" spans="1:14" ht="37.5" customHeight="1">
      <c r="A306" s="6" t="s">
        <v>331</v>
      </c>
      <c r="B306" s="25" t="s">
        <v>332</v>
      </c>
      <c r="C306" s="25" t="s">
        <v>10</v>
      </c>
      <c r="D306" s="274" t="s">
        <v>333</v>
      </c>
      <c r="E306" s="275"/>
      <c r="F306" s="83" t="s">
        <v>68</v>
      </c>
      <c r="G306" s="82">
        <v>100000</v>
      </c>
      <c r="H306" s="91">
        <v>100000</v>
      </c>
      <c r="I306" s="103">
        <v>1</v>
      </c>
      <c r="J306" s="91">
        <v>100000</v>
      </c>
      <c r="L306" s="1"/>
    </row>
    <row r="307" spans="1:14" ht="37.5" customHeight="1">
      <c r="A307" s="6" t="s">
        <v>334</v>
      </c>
      <c r="B307" s="25" t="s">
        <v>144</v>
      </c>
      <c r="C307" s="25" t="s">
        <v>10</v>
      </c>
      <c r="D307" s="11" t="s">
        <v>145</v>
      </c>
      <c r="E307" s="11" t="s">
        <v>335</v>
      </c>
      <c r="F307" s="83" t="s">
        <v>68</v>
      </c>
      <c r="G307" s="82">
        <v>500000</v>
      </c>
      <c r="H307" s="91">
        <v>500000</v>
      </c>
      <c r="I307" s="103">
        <v>1</v>
      </c>
      <c r="J307" s="91">
        <v>500000</v>
      </c>
      <c r="L307" s="1"/>
    </row>
    <row r="308" spans="1:14" s="10" customFormat="1">
      <c r="A308" s="5" t="s">
        <v>47</v>
      </c>
      <c r="B308" s="9"/>
      <c r="C308" s="9"/>
      <c r="D308" s="268" t="s">
        <v>48</v>
      </c>
      <c r="E308" s="269"/>
      <c r="F308" s="163"/>
      <c r="G308" s="80">
        <f>G309</f>
        <v>9382552</v>
      </c>
      <c r="H308" s="80">
        <f>H309</f>
        <v>9382552</v>
      </c>
      <c r="I308" s="31"/>
      <c r="J308" s="80">
        <f>J309</f>
        <v>5599200</v>
      </c>
      <c r="L308" s="179">
        <f>початковий!H174+'зміни квітень'!H181</f>
        <v>9382552</v>
      </c>
      <c r="M308" s="179">
        <f>початковий!I174+'зміни квітень'!I181</f>
        <v>0</v>
      </c>
      <c r="N308" s="179">
        <f>початковий!J174+'зміни квітень'!J181</f>
        <v>5599200</v>
      </c>
    </row>
    <row r="309" spans="1:14" s="10" customFormat="1">
      <c r="A309" s="5" t="s">
        <v>51</v>
      </c>
      <c r="B309" s="9"/>
      <c r="C309" s="9"/>
      <c r="D309" s="268" t="s">
        <v>48</v>
      </c>
      <c r="E309" s="269"/>
      <c r="F309" s="163"/>
      <c r="G309" s="80">
        <f>G310+G311+G314+G316</f>
        <v>9382552</v>
      </c>
      <c r="H309" s="80">
        <f t="shared" ref="H309:J309" si="15">H310+H311+H314+H316</f>
        <v>9382552</v>
      </c>
      <c r="I309" s="80"/>
      <c r="J309" s="80">
        <f t="shared" si="15"/>
        <v>5599200</v>
      </c>
      <c r="L309" s="179">
        <f>L308-H308</f>
        <v>0</v>
      </c>
      <c r="M309" s="179">
        <f t="shared" ref="M309:N309" si="16">M308-I308</f>
        <v>0</v>
      </c>
      <c r="N309" s="179">
        <f t="shared" si="16"/>
        <v>0</v>
      </c>
    </row>
    <row r="310" spans="1:14" ht="93.75">
      <c r="A310" s="6" t="s">
        <v>336</v>
      </c>
      <c r="B310" s="25" t="s">
        <v>161</v>
      </c>
      <c r="C310" s="25" t="s">
        <v>141</v>
      </c>
      <c r="D310" s="7" t="s">
        <v>162</v>
      </c>
      <c r="E310" s="22" t="s">
        <v>3</v>
      </c>
      <c r="F310" s="22" t="s">
        <v>68</v>
      </c>
      <c r="G310" s="82">
        <v>30000</v>
      </c>
      <c r="H310" s="91">
        <v>30000</v>
      </c>
      <c r="I310" s="103">
        <v>1</v>
      </c>
      <c r="J310" s="91">
        <v>30000</v>
      </c>
      <c r="L310" s="1"/>
    </row>
    <row r="311" spans="1:14" ht="37.5">
      <c r="A311" s="6" t="s">
        <v>337</v>
      </c>
      <c r="B311" s="25" t="s">
        <v>49</v>
      </c>
      <c r="C311" s="25" t="s">
        <v>338</v>
      </c>
      <c r="D311" s="24" t="s">
        <v>339</v>
      </c>
      <c r="E311" s="22" t="s">
        <v>3</v>
      </c>
      <c r="F311" s="22" t="s">
        <v>68</v>
      </c>
      <c r="G311" s="82">
        <f>10000000-6000000+3480900-1625000-200000-3000000+11500000-9072398</f>
        <v>5083502</v>
      </c>
      <c r="H311" s="91">
        <f>10000000-6000000+3480900-1625000-200000-3000000+11500000-9072398</f>
        <v>5083502</v>
      </c>
      <c r="I311" s="103">
        <v>1</v>
      </c>
      <c r="J311" s="91">
        <f>10000000-6000000+3480900-1625000-200000-3000000</f>
        <v>2655900</v>
      </c>
      <c r="L311" s="1"/>
    </row>
    <row r="312" spans="1:14">
      <c r="A312" s="6"/>
      <c r="B312" s="25"/>
      <c r="C312" s="25"/>
      <c r="D312" s="24"/>
      <c r="E312" s="22" t="s">
        <v>340</v>
      </c>
      <c r="F312" s="22"/>
      <c r="G312" s="82"/>
      <c r="H312" s="91"/>
      <c r="I312" s="103"/>
      <c r="J312" s="91"/>
      <c r="L312" s="1"/>
    </row>
    <row r="313" spans="1:14" s="43" customFormat="1" ht="56.25">
      <c r="A313" s="105"/>
      <c r="B313" s="106"/>
      <c r="C313" s="106"/>
      <c r="D313" s="41"/>
      <c r="E313" s="42" t="s">
        <v>341</v>
      </c>
      <c r="F313" s="42" t="s">
        <v>68</v>
      </c>
      <c r="G313" s="88">
        <f>11500000-9072398</f>
        <v>2427602</v>
      </c>
      <c r="H313" s="107">
        <f>11500000-9072398</f>
        <v>2427602</v>
      </c>
      <c r="I313" s="108"/>
      <c r="J313" s="107"/>
    </row>
    <row r="314" spans="1:14" s="43" customFormat="1" ht="55.5" customHeight="1">
      <c r="A314" s="6" t="s">
        <v>342</v>
      </c>
      <c r="B314" s="25" t="s">
        <v>343</v>
      </c>
      <c r="C314" s="25" t="s">
        <v>49</v>
      </c>
      <c r="D314" s="24" t="s">
        <v>344</v>
      </c>
      <c r="E314" s="22" t="s">
        <v>55</v>
      </c>
      <c r="F314" s="22"/>
      <c r="G314" s="82">
        <f>G315</f>
        <v>0</v>
      </c>
      <c r="H314" s="82">
        <f t="shared" ref="H314:J314" si="17">H315</f>
        <v>0</v>
      </c>
      <c r="I314" s="82"/>
      <c r="J314" s="82">
        <f t="shared" si="17"/>
        <v>0</v>
      </c>
    </row>
    <row r="315" spans="1:14" s="43" customFormat="1" ht="112.5">
      <c r="A315" s="105"/>
      <c r="B315" s="106"/>
      <c r="C315" s="106"/>
      <c r="D315" s="41"/>
      <c r="E315" s="42" t="s">
        <v>345</v>
      </c>
      <c r="F315" s="42" t="s">
        <v>68</v>
      </c>
      <c r="G315" s="88">
        <f>700000-700000</f>
        <v>0</v>
      </c>
      <c r="H315" s="107">
        <f>700000-700000</f>
        <v>0</v>
      </c>
      <c r="I315" s="108"/>
      <c r="J315" s="107">
        <f>700000-700000</f>
        <v>0</v>
      </c>
    </row>
    <row r="316" spans="1:14" s="43" customFormat="1" ht="75">
      <c r="A316" s="6" t="s">
        <v>112</v>
      </c>
      <c r="B316" s="25" t="s">
        <v>113</v>
      </c>
      <c r="C316" s="25" t="s">
        <v>49</v>
      </c>
      <c r="D316" s="24" t="s">
        <v>114</v>
      </c>
      <c r="E316" s="22" t="s">
        <v>55</v>
      </c>
      <c r="F316" s="42"/>
      <c r="G316" s="88">
        <f>SUM(G317:G322)</f>
        <v>4269050</v>
      </c>
      <c r="H316" s="88">
        <f t="shared" ref="H316:J316" si="18">SUM(H317:H322)</f>
        <v>4269050</v>
      </c>
      <c r="I316" s="88"/>
      <c r="J316" s="88">
        <f t="shared" si="18"/>
        <v>2913300</v>
      </c>
    </row>
    <row r="317" spans="1:14" s="43" customFormat="1" ht="75">
      <c r="A317" s="105"/>
      <c r="B317" s="106"/>
      <c r="C317" s="106"/>
      <c r="D317" s="41"/>
      <c r="E317" s="41" t="s">
        <v>115</v>
      </c>
      <c r="F317" s="42" t="s">
        <v>68</v>
      </c>
      <c r="G317" s="68">
        <v>1959200</v>
      </c>
      <c r="H317" s="68">
        <v>1959200</v>
      </c>
      <c r="I317" s="150">
        <v>1</v>
      </c>
      <c r="J317" s="68">
        <v>1959200</v>
      </c>
    </row>
    <row r="318" spans="1:14" s="43" customFormat="1" ht="75">
      <c r="A318" s="105"/>
      <c r="B318" s="106"/>
      <c r="C318" s="106"/>
      <c r="D318" s="41"/>
      <c r="E318" s="41" t="s">
        <v>116</v>
      </c>
      <c r="F318" s="42" t="s">
        <v>68</v>
      </c>
      <c r="G318" s="68">
        <v>113750</v>
      </c>
      <c r="H318" s="68">
        <v>113750</v>
      </c>
      <c r="I318" s="150">
        <v>1</v>
      </c>
      <c r="J318" s="68">
        <v>113000</v>
      </c>
    </row>
    <row r="319" spans="1:14" s="43" customFormat="1" ht="56.25">
      <c r="A319" s="105"/>
      <c r="B319" s="106"/>
      <c r="C319" s="106"/>
      <c r="D319" s="41"/>
      <c r="E319" s="41" t="s">
        <v>117</v>
      </c>
      <c r="F319" s="42" t="s">
        <v>68</v>
      </c>
      <c r="G319" s="68">
        <v>1550000</v>
      </c>
      <c r="H319" s="68">
        <v>1550000</v>
      </c>
      <c r="I319" s="150">
        <v>1</v>
      </c>
      <c r="J319" s="68">
        <f>1550000-1355000</f>
        <v>195000</v>
      </c>
    </row>
    <row r="320" spans="1:14" s="43" customFormat="1" ht="112.5">
      <c r="A320" s="105"/>
      <c r="B320" s="106"/>
      <c r="C320" s="106"/>
      <c r="D320" s="41"/>
      <c r="E320" s="41" t="s">
        <v>118</v>
      </c>
      <c r="F320" s="42" t="s">
        <v>68</v>
      </c>
      <c r="G320" s="68">
        <v>624100</v>
      </c>
      <c r="H320" s="68">
        <v>624100</v>
      </c>
      <c r="I320" s="150">
        <v>1</v>
      </c>
      <c r="J320" s="68">
        <v>624100</v>
      </c>
    </row>
    <row r="321" spans="1:12" s="43" customFormat="1" ht="112.5">
      <c r="A321" s="105"/>
      <c r="B321" s="106"/>
      <c r="C321" s="106"/>
      <c r="D321" s="41"/>
      <c r="E321" s="41" t="s">
        <v>119</v>
      </c>
      <c r="F321" s="42" t="s">
        <v>68</v>
      </c>
      <c r="G321" s="68">
        <v>7000</v>
      </c>
      <c r="H321" s="68">
        <v>7000</v>
      </c>
      <c r="I321" s="150">
        <v>1</v>
      </c>
      <c r="J321" s="68">
        <v>7000</v>
      </c>
    </row>
    <row r="322" spans="1:12" s="43" customFormat="1" ht="168.75">
      <c r="A322" s="105"/>
      <c r="B322" s="106"/>
      <c r="C322" s="106"/>
      <c r="D322" s="41"/>
      <c r="E322" s="41" t="s">
        <v>120</v>
      </c>
      <c r="F322" s="42" t="s">
        <v>68</v>
      </c>
      <c r="G322" s="68">
        <v>15000</v>
      </c>
      <c r="H322" s="68">
        <v>15000</v>
      </c>
      <c r="I322" s="150">
        <v>1</v>
      </c>
      <c r="J322" s="68">
        <v>15000</v>
      </c>
    </row>
    <row r="323" spans="1:12" s="111" customFormat="1" ht="54" customHeight="1">
      <c r="A323" s="280" t="s">
        <v>346</v>
      </c>
      <c r="B323" s="281"/>
      <c r="C323" s="281"/>
      <c r="D323" s="281"/>
      <c r="E323" s="282"/>
      <c r="F323" s="109"/>
      <c r="G323" s="110">
        <f>G324+G326+G341</f>
        <v>2000000</v>
      </c>
      <c r="H323" s="110">
        <f t="shared" ref="H323:J323" si="19">H324+H326+H341</f>
        <v>10503700</v>
      </c>
      <c r="I323" s="110"/>
      <c r="J323" s="110">
        <f t="shared" si="19"/>
        <v>10503700</v>
      </c>
    </row>
    <row r="324" spans="1:12" s="43" customFormat="1">
      <c r="A324" s="5" t="s">
        <v>169</v>
      </c>
      <c r="B324" s="5"/>
      <c r="C324" s="5"/>
      <c r="D324" s="268" t="s">
        <v>168</v>
      </c>
      <c r="E324" s="269"/>
      <c r="F324" s="42"/>
      <c r="G324" s="80">
        <f>G325</f>
        <v>0</v>
      </c>
      <c r="H324" s="80">
        <f t="shared" ref="H324:J324" si="20">H325</f>
        <v>1073700</v>
      </c>
      <c r="I324" s="80"/>
      <c r="J324" s="80">
        <f t="shared" si="20"/>
        <v>1073700</v>
      </c>
    </row>
    <row r="325" spans="1:12" s="43" customFormat="1" ht="56.25">
      <c r="A325" s="6" t="s">
        <v>181</v>
      </c>
      <c r="B325" s="6" t="s">
        <v>52</v>
      </c>
      <c r="C325" s="6" t="s">
        <v>10</v>
      </c>
      <c r="D325" s="7" t="s">
        <v>35</v>
      </c>
      <c r="E325" s="83" t="s">
        <v>182</v>
      </c>
      <c r="F325" s="83"/>
      <c r="G325" s="81"/>
      <c r="H325" s="82">
        <f>10000000-1500000-2136300-5290000</f>
        <v>1073700</v>
      </c>
      <c r="I325" s="32"/>
      <c r="J325" s="81">
        <f>10000000-1500000-2136300-5290000</f>
        <v>1073700</v>
      </c>
    </row>
    <row r="326" spans="1:12" s="43" customFormat="1" ht="47.25" customHeight="1">
      <c r="A326" s="5" t="s">
        <v>30</v>
      </c>
      <c r="B326" s="5"/>
      <c r="C326" s="5"/>
      <c r="D326" s="268" t="s">
        <v>6</v>
      </c>
      <c r="E326" s="269"/>
      <c r="F326" s="83"/>
      <c r="G326" s="84">
        <f>G327+G332+G337</f>
        <v>2000000</v>
      </c>
      <c r="H326" s="84">
        <f t="shared" ref="H326:J326" si="21">H327+H332+H337</f>
        <v>2000000</v>
      </c>
      <c r="I326" s="84"/>
      <c r="J326" s="84">
        <f t="shared" si="21"/>
        <v>2000000</v>
      </c>
    </row>
    <row r="327" spans="1:12" ht="41.25" hidden="1" customHeight="1">
      <c r="A327" s="271" t="s">
        <v>40</v>
      </c>
      <c r="B327" s="271" t="s">
        <v>39</v>
      </c>
      <c r="C327" s="271" t="s">
        <v>8</v>
      </c>
      <c r="D327" s="283" t="s">
        <v>41</v>
      </c>
      <c r="E327" s="92" t="s">
        <v>204</v>
      </c>
      <c r="F327" s="92"/>
      <c r="G327" s="81">
        <f>G328+G329+G330+G331</f>
        <v>0</v>
      </c>
      <c r="H327" s="81">
        <f t="shared" ref="H327" si="22">H328+H329+H330+H331</f>
        <v>0</v>
      </c>
      <c r="I327" s="81"/>
      <c r="J327" s="81">
        <f t="shared" ref="J327" si="23">J328+J329+J330+J331</f>
        <v>0</v>
      </c>
      <c r="L327" s="1"/>
    </row>
    <row r="328" spans="1:12" ht="94.5" hidden="1">
      <c r="A328" s="272"/>
      <c r="B328" s="272"/>
      <c r="C328" s="272"/>
      <c r="D328" s="284"/>
      <c r="E328" s="93" t="s">
        <v>205</v>
      </c>
      <c r="F328" s="42"/>
      <c r="G328" s="88">
        <f>425000-425000</f>
        <v>0</v>
      </c>
      <c r="H328" s="88">
        <f>425000-425000</f>
        <v>0</v>
      </c>
      <c r="I328" s="40"/>
      <c r="J328" s="88">
        <f>425000-425000</f>
        <v>0</v>
      </c>
      <c r="L328" s="1"/>
    </row>
    <row r="329" spans="1:12" ht="94.5" hidden="1">
      <c r="A329" s="272"/>
      <c r="B329" s="272"/>
      <c r="C329" s="272"/>
      <c r="D329" s="284"/>
      <c r="E329" s="93" t="s">
        <v>206</v>
      </c>
      <c r="F329" s="42"/>
      <c r="G329" s="88">
        <f>1500000-1500000</f>
        <v>0</v>
      </c>
      <c r="H329" s="88">
        <f>1500000-1500000</f>
        <v>0</v>
      </c>
      <c r="I329" s="40"/>
      <c r="J329" s="88">
        <f>1500000-1500000</f>
        <v>0</v>
      </c>
      <c r="L329" s="1"/>
    </row>
    <row r="330" spans="1:12" ht="94.5" hidden="1">
      <c r="A330" s="272"/>
      <c r="B330" s="272"/>
      <c r="C330" s="272"/>
      <c r="D330" s="284"/>
      <c r="E330" s="93" t="s">
        <v>207</v>
      </c>
      <c r="F330" s="42"/>
      <c r="G330" s="88">
        <f>750000-750000</f>
        <v>0</v>
      </c>
      <c r="H330" s="88">
        <f>750000-750000</f>
        <v>0</v>
      </c>
      <c r="I330" s="40"/>
      <c r="J330" s="88">
        <f>750000-750000</f>
        <v>0</v>
      </c>
      <c r="L330" s="1"/>
    </row>
    <row r="331" spans="1:12" ht="94.5" hidden="1">
      <c r="A331" s="272"/>
      <c r="B331" s="272"/>
      <c r="C331" s="272"/>
      <c r="D331" s="284"/>
      <c r="E331" s="93" t="s">
        <v>208</v>
      </c>
      <c r="F331" s="42"/>
      <c r="G331" s="88">
        <f>825000-825000</f>
        <v>0</v>
      </c>
      <c r="H331" s="88">
        <f>825000-825000</f>
        <v>0</v>
      </c>
      <c r="I331" s="40"/>
      <c r="J331" s="88">
        <f>825000-825000</f>
        <v>0</v>
      </c>
      <c r="L331" s="1"/>
    </row>
    <row r="332" spans="1:12" s="43" customFormat="1">
      <c r="A332" s="6"/>
      <c r="B332" s="6"/>
      <c r="C332" s="6"/>
      <c r="D332" s="276" t="s">
        <v>73</v>
      </c>
      <c r="E332" s="277"/>
      <c r="F332" s="83"/>
      <c r="G332" s="81">
        <f>G333</f>
        <v>2000000</v>
      </c>
      <c r="H332" s="81">
        <f t="shared" ref="H332:J332" si="24">H333</f>
        <v>2000000</v>
      </c>
      <c r="I332" s="81"/>
      <c r="J332" s="81">
        <f t="shared" si="24"/>
        <v>2000000</v>
      </c>
    </row>
    <row r="333" spans="1:12" s="43" customFormat="1" ht="70.5" customHeight="1">
      <c r="A333" s="271" t="s">
        <v>50</v>
      </c>
      <c r="B333" s="271" t="s">
        <v>23</v>
      </c>
      <c r="C333" s="271" t="s">
        <v>8</v>
      </c>
      <c r="D333" s="278"/>
      <c r="E333" s="166" t="s">
        <v>347</v>
      </c>
      <c r="F333" s="83"/>
      <c r="G333" s="81">
        <f>G334+G335+G336</f>
        <v>2000000</v>
      </c>
      <c r="H333" s="81">
        <f t="shared" ref="H333:J333" si="25">H334+H335+H336</f>
        <v>2000000</v>
      </c>
      <c r="I333" s="81"/>
      <c r="J333" s="81">
        <f t="shared" si="25"/>
        <v>2000000</v>
      </c>
    </row>
    <row r="334" spans="1:12" s="43" customFormat="1">
      <c r="A334" s="272"/>
      <c r="B334" s="272"/>
      <c r="C334" s="272"/>
      <c r="D334" s="279"/>
      <c r="E334" s="44" t="s">
        <v>239</v>
      </c>
      <c r="F334" s="83"/>
      <c r="G334" s="87">
        <v>500000</v>
      </c>
      <c r="H334" s="87">
        <v>500000</v>
      </c>
      <c r="I334" s="89"/>
      <c r="J334" s="87">
        <v>500000</v>
      </c>
    </row>
    <row r="335" spans="1:12" s="43" customFormat="1" ht="75">
      <c r="A335" s="272"/>
      <c r="B335" s="272"/>
      <c r="C335" s="272"/>
      <c r="D335" s="279"/>
      <c r="E335" s="44" t="s">
        <v>240</v>
      </c>
      <c r="F335" s="83"/>
      <c r="G335" s="87">
        <v>1400000</v>
      </c>
      <c r="H335" s="87">
        <v>1400000</v>
      </c>
      <c r="I335" s="89"/>
      <c r="J335" s="87">
        <v>1400000</v>
      </c>
    </row>
    <row r="336" spans="1:12" s="43" customFormat="1" ht="80.25" customHeight="1">
      <c r="A336" s="272"/>
      <c r="B336" s="272"/>
      <c r="C336" s="272"/>
      <c r="D336" s="279"/>
      <c r="E336" s="44" t="s">
        <v>241</v>
      </c>
      <c r="F336" s="42"/>
      <c r="G336" s="88">
        <f>600000-500000</f>
        <v>100000</v>
      </c>
      <c r="H336" s="88">
        <f>600000-500000</f>
        <v>100000</v>
      </c>
      <c r="I336" s="108"/>
      <c r="J336" s="88">
        <f>600000-500000</f>
        <v>100000</v>
      </c>
    </row>
    <row r="337" spans="1:12" s="43" customFormat="1" ht="61.5" hidden="1" customHeight="1">
      <c r="A337" s="271" t="s">
        <v>45</v>
      </c>
      <c r="B337" s="271" t="s">
        <v>44</v>
      </c>
      <c r="C337" s="271" t="s">
        <v>11</v>
      </c>
      <c r="D337" s="274" t="s">
        <v>268</v>
      </c>
      <c r="E337" s="275"/>
      <c r="F337" s="23"/>
      <c r="G337" s="81">
        <f>G338+G339+G340</f>
        <v>0</v>
      </c>
      <c r="H337" s="81">
        <f t="shared" ref="H337:J337" si="26">H338+H339+H340</f>
        <v>0</v>
      </c>
      <c r="I337" s="81"/>
      <c r="J337" s="81">
        <f t="shared" si="26"/>
        <v>0</v>
      </c>
    </row>
    <row r="338" spans="1:12" s="43" customFormat="1" ht="21" hidden="1" customHeight="1">
      <c r="A338" s="272"/>
      <c r="B338" s="272"/>
      <c r="C338" s="272"/>
      <c r="D338" s="112"/>
      <c r="E338" s="45" t="s">
        <v>272</v>
      </c>
      <c r="F338" s="11"/>
      <c r="G338" s="97">
        <f>1300000-1300000</f>
        <v>0</v>
      </c>
      <c r="H338" s="97">
        <f>1300000-1300000</f>
        <v>0</v>
      </c>
      <c r="I338" s="35"/>
      <c r="J338" s="97">
        <f>1300000-1300000</f>
        <v>0</v>
      </c>
    </row>
    <row r="339" spans="1:12" s="43" customFormat="1" ht="38.25" hidden="1" customHeight="1">
      <c r="A339" s="272"/>
      <c r="B339" s="272"/>
      <c r="C339" s="272"/>
      <c r="D339" s="112"/>
      <c r="E339" s="45" t="s">
        <v>273</v>
      </c>
      <c r="F339" s="11"/>
      <c r="G339" s="97">
        <f>1300000-1300000</f>
        <v>0</v>
      </c>
      <c r="H339" s="97">
        <f>1300000-1300000</f>
        <v>0</v>
      </c>
      <c r="I339" s="35"/>
      <c r="J339" s="97">
        <f>1300000-1300000</f>
        <v>0</v>
      </c>
    </row>
    <row r="340" spans="1:12" s="43" customFormat="1" ht="24.75" hidden="1" customHeight="1">
      <c r="A340" s="273"/>
      <c r="B340" s="273"/>
      <c r="C340" s="273"/>
      <c r="D340" s="112"/>
      <c r="E340" s="45" t="s">
        <v>274</v>
      </c>
      <c r="F340" s="11"/>
      <c r="G340" s="97">
        <f>1200000-1200000</f>
        <v>0</v>
      </c>
      <c r="H340" s="97">
        <f>1200000-1200000</f>
        <v>0</v>
      </c>
      <c r="I340" s="35"/>
      <c r="J340" s="97">
        <f>1200000-1200000</f>
        <v>0</v>
      </c>
    </row>
    <row r="341" spans="1:12" s="10" customFormat="1" ht="41.25" customHeight="1">
      <c r="A341" s="5" t="s">
        <v>4</v>
      </c>
      <c r="B341" s="5"/>
      <c r="C341" s="5"/>
      <c r="D341" s="268" t="s">
        <v>9</v>
      </c>
      <c r="E341" s="269"/>
      <c r="F341" s="163"/>
      <c r="G341" s="80"/>
      <c r="H341" s="80">
        <f>H342</f>
        <v>7430000</v>
      </c>
      <c r="I341" s="80">
        <f t="shared" ref="I341:J342" si="27">I342</f>
        <v>0</v>
      </c>
      <c r="J341" s="80">
        <f t="shared" si="27"/>
        <v>7430000</v>
      </c>
    </row>
    <row r="342" spans="1:12" s="10" customFormat="1" ht="41.25" customHeight="1">
      <c r="A342" s="5" t="s">
        <v>5</v>
      </c>
      <c r="B342" s="5"/>
      <c r="C342" s="5"/>
      <c r="D342" s="268" t="s">
        <v>9</v>
      </c>
      <c r="E342" s="269"/>
      <c r="F342" s="163"/>
      <c r="G342" s="80"/>
      <c r="H342" s="80">
        <f>H343</f>
        <v>7430000</v>
      </c>
      <c r="I342" s="80">
        <f t="shared" si="27"/>
        <v>0</v>
      </c>
      <c r="J342" s="80">
        <f t="shared" si="27"/>
        <v>7430000</v>
      </c>
    </row>
    <row r="343" spans="1:12" s="43" customFormat="1" ht="78" customHeight="1">
      <c r="A343" s="165" t="s">
        <v>54</v>
      </c>
      <c r="B343" s="165" t="s">
        <v>52</v>
      </c>
      <c r="C343" s="165" t="s">
        <v>10</v>
      </c>
      <c r="D343" s="112" t="s">
        <v>35</v>
      </c>
      <c r="E343" s="45" t="s">
        <v>69</v>
      </c>
      <c r="F343" s="11"/>
      <c r="G343" s="97"/>
      <c r="H343" s="97">
        <v>7430000</v>
      </c>
      <c r="I343" s="35"/>
      <c r="J343" s="97">
        <v>7430000</v>
      </c>
    </row>
    <row r="344" spans="1:12">
      <c r="A344" s="19"/>
      <c r="B344" s="6"/>
      <c r="C344" s="6"/>
      <c r="D344" s="13"/>
      <c r="E344" s="18" t="s">
        <v>0</v>
      </c>
      <c r="F344" s="18"/>
      <c r="G344" s="113">
        <f>G10+G17+G34+G38+G44+G47+G277+G299+G308+G323</f>
        <v>877233062.90999997</v>
      </c>
      <c r="H344" s="113">
        <f>H10+H17+H34+H38+H44+H47+H277+H299+H308+H323</f>
        <v>233942631.80000001</v>
      </c>
      <c r="I344" s="113">
        <f>I10+I17+I34+I38+I44+I47+I277+I299+I308+I323</f>
        <v>0</v>
      </c>
      <c r="J344" s="113">
        <f>J10+J17+J34+J38+J44+J47+J277+J299+J308+J323</f>
        <v>184044322.21000001</v>
      </c>
      <c r="L344" s="1"/>
    </row>
    <row r="345" spans="1:12" s="10" customFormat="1">
      <c r="A345" s="14"/>
      <c r="B345" s="10" t="s">
        <v>348</v>
      </c>
      <c r="D345" s="270"/>
      <c r="E345" s="270"/>
      <c r="F345" s="169"/>
      <c r="H345" s="20"/>
      <c r="I345" s="1"/>
    </row>
    <row r="346" spans="1:12">
      <c r="A346" s="36"/>
      <c r="G346" s="1"/>
    </row>
    <row r="347" spans="1:12">
      <c r="E347" s="203" t="s">
        <v>473</v>
      </c>
      <c r="F347" s="203"/>
      <c r="G347" s="204">
        <f>початковий!G203+'зміни квітень'!G209</f>
        <v>1078312602.9100001</v>
      </c>
      <c r="H347" s="204">
        <f>початковий!H203+'зміни квітень'!H209</f>
        <v>233942631.80000001</v>
      </c>
      <c r="I347" s="205"/>
      <c r="J347" s="204">
        <f>початковий!J203+'зміни квітень'!J209</f>
        <v>184044322.21000001</v>
      </c>
    </row>
    <row r="348" spans="1:12">
      <c r="E348" s="203"/>
      <c r="F348" s="203"/>
      <c r="G348" s="206">
        <f>G344-G347</f>
        <v>-201079540.00000012</v>
      </c>
      <c r="H348" s="206">
        <f>H347-H344</f>
        <v>0</v>
      </c>
      <c r="I348" s="206"/>
      <c r="J348" s="206">
        <f>J344-J347</f>
        <v>0</v>
      </c>
    </row>
    <row r="349" spans="1:12">
      <c r="E349" s="203"/>
      <c r="F349" s="203"/>
      <c r="G349" s="206"/>
      <c r="H349" s="206"/>
      <c r="I349" s="206"/>
      <c r="J349" s="206"/>
    </row>
    <row r="350" spans="1:12">
      <c r="E350" s="203"/>
      <c r="F350" s="203"/>
      <c r="G350" s="205"/>
      <c r="H350" s="205"/>
      <c r="I350" s="205"/>
      <c r="J350" s="205"/>
    </row>
    <row r="351" spans="1:12">
      <c r="G351" s="1"/>
    </row>
  </sheetData>
  <mergeCells count="102">
    <mergeCell ref="D34:E34"/>
    <mergeCell ref="D35:E35"/>
    <mergeCell ref="D38:E38"/>
    <mergeCell ref="D39:E39"/>
    <mergeCell ref="D44:E44"/>
    <mergeCell ref="D45:E45"/>
    <mergeCell ref="D10:E10"/>
    <mergeCell ref="D11:E11"/>
    <mergeCell ref="D17:E17"/>
    <mergeCell ref="D18:E18"/>
    <mergeCell ref="D21:D28"/>
    <mergeCell ref="D29:D30"/>
    <mergeCell ref="C21:C28"/>
    <mergeCell ref="A5:I5"/>
    <mergeCell ref="A7:A8"/>
    <mergeCell ref="B7:B8"/>
    <mergeCell ref="C7:C8"/>
    <mergeCell ref="D7:D8"/>
    <mergeCell ref="E7:E8"/>
    <mergeCell ref="F7:F8"/>
    <mergeCell ref="G7:G8"/>
    <mergeCell ref="H7:H8"/>
    <mergeCell ref="I7:I8"/>
    <mergeCell ref="B21:B28"/>
    <mergeCell ref="A21:A28"/>
    <mergeCell ref="C19:C20"/>
    <mergeCell ref="B19:B20"/>
    <mergeCell ref="A19:A20"/>
    <mergeCell ref="D19:D20"/>
    <mergeCell ref="B105:B109"/>
    <mergeCell ref="C105:C109"/>
    <mergeCell ref="D105:D109"/>
    <mergeCell ref="A117:A119"/>
    <mergeCell ref="B117:B119"/>
    <mergeCell ref="C117:C119"/>
    <mergeCell ref="D117:D119"/>
    <mergeCell ref="D47:E47"/>
    <mergeCell ref="D48:E48"/>
    <mergeCell ref="A50:A104"/>
    <mergeCell ref="B50:B104"/>
    <mergeCell ref="C50:C104"/>
    <mergeCell ref="D50:D104"/>
    <mergeCell ref="A105:A109"/>
    <mergeCell ref="D110:D116"/>
    <mergeCell ref="C110:C116"/>
    <mergeCell ref="B110:B116"/>
    <mergeCell ref="A110:A116"/>
    <mergeCell ref="B138:B205"/>
    <mergeCell ref="C138:C205"/>
    <mergeCell ref="D138:E138"/>
    <mergeCell ref="D139:D205"/>
    <mergeCell ref="D206:E206"/>
    <mergeCell ref="A207:A214"/>
    <mergeCell ref="B281:B297"/>
    <mergeCell ref="C281:C297"/>
    <mergeCell ref="D281:D297"/>
    <mergeCell ref="D345:E345"/>
    <mergeCell ref="D341:E341"/>
    <mergeCell ref="D342:E342"/>
    <mergeCell ref="B207:B214"/>
    <mergeCell ref="C207:C214"/>
    <mergeCell ref="D207:D214"/>
    <mergeCell ref="D237:D276"/>
    <mergeCell ref="C237:C276"/>
    <mergeCell ref="B237:B276"/>
    <mergeCell ref="D308:E308"/>
    <mergeCell ref="D309:E309"/>
    <mergeCell ref="A323:E323"/>
    <mergeCell ref="A237:A276"/>
    <mergeCell ref="D277:E277"/>
    <mergeCell ref="D278:E278"/>
    <mergeCell ref="D327:D331"/>
    <mergeCell ref="A215:A235"/>
    <mergeCell ref="B215:B235"/>
    <mergeCell ref="C215:C235"/>
    <mergeCell ref="D215:D235"/>
    <mergeCell ref="D299:E299"/>
    <mergeCell ref="D300:E300"/>
    <mergeCell ref="C29:C30"/>
    <mergeCell ref="B29:B30"/>
    <mergeCell ref="A29:A30"/>
    <mergeCell ref="A337:A340"/>
    <mergeCell ref="B337:B340"/>
    <mergeCell ref="C337:C340"/>
    <mergeCell ref="D337:E337"/>
    <mergeCell ref="A327:A331"/>
    <mergeCell ref="B327:B331"/>
    <mergeCell ref="C327:C331"/>
    <mergeCell ref="D332:E332"/>
    <mergeCell ref="A333:A336"/>
    <mergeCell ref="B333:B336"/>
    <mergeCell ref="C333:C336"/>
    <mergeCell ref="D333:D336"/>
    <mergeCell ref="D306:E306"/>
    <mergeCell ref="D324:E324"/>
    <mergeCell ref="D326:E326"/>
    <mergeCell ref="A281:A297"/>
    <mergeCell ref="A120:A135"/>
    <mergeCell ref="B120:B135"/>
    <mergeCell ref="C120:C135"/>
    <mergeCell ref="D120:D135"/>
    <mergeCell ref="A138:A205"/>
  </mergeCells>
  <pageMargins left="0.16" right="0.16" top="0.16" bottom="0.12" header="0.16" footer="0.13"/>
  <pageSetup paperSize="9" scale="56" orientation="landscape" r:id="rId1"/>
  <colBreaks count="1" manualBreakCount="1">
    <brk id="1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P158"/>
  <sheetViews>
    <sheetView tabSelected="1" view="pageBreakPreview" topLeftCell="A63" zoomScale="70" zoomScaleNormal="80" zoomScaleSheetLayoutView="70" workbookViewId="0">
      <selection activeCell="I53" sqref="I53"/>
    </sheetView>
  </sheetViews>
  <sheetFormatPr defaultRowHeight="18.75"/>
  <cols>
    <col min="1" max="1" width="17.140625" style="220" customWidth="1"/>
    <col min="2" max="2" width="14.85546875" style="1" customWidth="1"/>
    <col min="3" max="3" width="16.5703125" style="1" customWidth="1"/>
    <col min="4" max="4" width="41.140625" style="1" customWidth="1"/>
    <col min="5" max="5" width="51.28515625" style="15" customWidth="1"/>
    <col min="6" max="6" width="13.7109375" style="15" customWidth="1"/>
    <col min="7" max="7" width="21.5703125" style="170" customWidth="1"/>
    <col min="8" max="8" width="20.85546875" style="1" customWidth="1"/>
    <col min="9" max="9" width="19.42578125" style="1" customWidth="1"/>
    <col min="10" max="10" width="25.5703125" style="1" customWidth="1"/>
    <col min="11" max="11" width="24" style="1" customWidth="1"/>
    <col min="12" max="12" width="18.42578125" style="170" bestFit="1" customWidth="1"/>
    <col min="13" max="16384" width="9.140625" style="1"/>
  </cols>
  <sheetData>
    <row r="1" spans="1:14">
      <c r="A1" s="29"/>
      <c r="D1" s="220"/>
      <c r="G1" s="1"/>
      <c r="H1" s="16" t="s">
        <v>542</v>
      </c>
      <c r="I1" s="16"/>
    </row>
    <row r="2" spans="1:14">
      <c r="A2" s="29"/>
      <c r="D2" s="220"/>
      <c r="G2" s="1"/>
      <c r="H2" s="16" t="s">
        <v>541</v>
      </c>
      <c r="I2" s="8"/>
    </row>
    <row r="3" spans="1:14">
      <c r="A3" s="29"/>
      <c r="D3" s="263"/>
      <c r="G3" s="1"/>
      <c r="H3" s="16" t="s">
        <v>540</v>
      </c>
      <c r="I3" s="8"/>
    </row>
    <row r="4" spans="1:14">
      <c r="A4" s="29"/>
      <c r="D4" s="220"/>
      <c r="G4" s="1"/>
      <c r="H4" s="16" t="s">
        <v>70</v>
      </c>
      <c r="I4" s="8"/>
    </row>
    <row r="5" spans="1:14">
      <c r="A5" s="29"/>
      <c r="D5" s="220"/>
      <c r="G5" s="1"/>
      <c r="H5" s="17" t="s">
        <v>543</v>
      </c>
    </row>
    <row r="6" spans="1:14" s="4" customFormat="1" ht="20.25">
      <c r="A6" s="294" t="s">
        <v>121</v>
      </c>
      <c r="B6" s="294"/>
      <c r="C6" s="294"/>
      <c r="D6" s="294"/>
      <c r="E6" s="294"/>
      <c r="F6" s="294"/>
      <c r="G6" s="294"/>
      <c r="H6" s="294"/>
      <c r="I6" s="294"/>
      <c r="J6" s="2"/>
    </row>
    <row r="7" spans="1:14" s="4" customFormat="1" ht="20.25">
      <c r="A7" s="3"/>
      <c r="D7" s="2"/>
      <c r="E7" s="21"/>
      <c r="F7" s="21"/>
      <c r="G7" s="2"/>
      <c r="H7" s="2"/>
      <c r="I7" s="2"/>
      <c r="J7" s="48" t="s">
        <v>81</v>
      </c>
      <c r="L7" s="171"/>
    </row>
    <row r="8" spans="1:14">
      <c r="A8" s="295" t="s">
        <v>59</v>
      </c>
      <c r="B8" s="295" t="s">
        <v>60</v>
      </c>
      <c r="C8" s="295" t="s">
        <v>61</v>
      </c>
      <c r="D8" s="297" t="s">
        <v>62</v>
      </c>
      <c r="E8" s="298" t="s">
        <v>63</v>
      </c>
      <c r="F8" s="299" t="s">
        <v>64</v>
      </c>
      <c r="G8" s="297" t="s">
        <v>65</v>
      </c>
      <c r="H8" s="297" t="s">
        <v>66</v>
      </c>
      <c r="I8" s="297" t="s">
        <v>67</v>
      </c>
      <c r="J8" s="225" t="s">
        <v>2</v>
      </c>
    </row>
    <row r="9" spans="1:14" ht="150">
      <c r="A9" s="296"/>
      <c r="B9" s="296"/>
      <c r="C9" s="296"/>
      <c r="D9" s="297"/>
      <c r="E9" s="298"/>
      <c r="F9" s="300"/>
      <c r="G9" s="297"/>
      <c r="H9" s="297"/>
      <c r="I9" s="297"/>
      <c r="J9" s="225" t="s">
        <v>1</v>
      </c>
      <c r="L9" s="1"/>
    </row>
    <row r="10" spans="1:14">
      <c r="A10" s="224">
        <v>1</v>
      </c>
      <c r="B10" s="224">
        <v>2</v>
      </c>
      <c r="C10" s="224">
        <v>3</v>
      </c>
      <c r="D10" s="225">
        <v>4</v>
      </c>
      <c r="E10" s="225">
        <v>5</v>
      </c>
      <c r="F10" s="37">
        <v>6</v>
      </c>
      <c r="G10" s="225">
        <v>7</v>
      </c>
      <c r="H10" s="225">
        <v>8</v>
      </c>
      <c r="I10" s="225">
        <v>9</v>
      </c>
      <c r="J10" s="225">
        <v>10</v>
      </c>
      <c r="L10" s="1"/>
    </row>
    <row r="11" spans="1:14" s="10" customFormat="1">
      <c r="A11" s="5" t="s">
        <v>20</v>
      </c>
      <c r="B11" s="5"/>
      <c r="C11" s="5"/>
      <c r="D11" s="268" t="s">
        <v>76</v>
      </c>
      <c r="E11" s="269"/>
      <c r="F11" s="249"/>
      <c r="G11" s="80">
        <f>G12</f>
        <v>341300</v>
      </c>
      <c r="H11" s="80">
        <f>H12</f>
        <v>341300</v>
      </c>
      <c r="I11" s="31"/>
      <c r="J11" s="80">
        <f>J12</f>
        <v>341300</v>
      </c>
      <c r="K11" s="179">
        <f>початковий!G10+'зміни квітень'!G11</f>
        <v>16625700</v>
      </c>
      <c r="L11" s="179">
        <f>початковий!H10+'зміни квітень'!H11</f>
        <v>16625700</v>
      </c>
      <c r="M11" s="179">
        <f>початковий!I10+'зміни квітень'!I11</f>
        <v>0</v>
      </c>
      <c r="N11" s="179">
        <f>початковий!J10+'зміни квітень'!J11</f>
        <v>16625700</v>
      </c>
    </row>
    <row r="12" spans="1:14" s="10" customFormat="1">
      <c r="A12" s="5" t="s">
        <v>21</v>
      </c>
      <c r="B12" s="5"/>
      <c r="C12" s="5"/>
      <c r="D12" s="268" t="s">
        <v>76</v>
      </c>
      <c r="E12" s="269"/>
      <c r="F12" s="249"/>
      <c r="G12" s="80">
        <f>G13+G14+G15+G16+G17+G18</f>
        <v>341300</v>
      </c>
      <c r="H12" s="80">
        <f t="shared" ref="H12:J12" si="0">H13+H14+H15+H16+H17+H18</f>
        <v>341300</v>
      </c>
      <c r="I12" s="80"/>
      <c r="J12" s="80">
        <f t="shared" si="0"/>
        <v>341300</v>
      </c>
      <c r="K12" s="179">
        <f>G11-K11</f>
        <v>-16284400</v>
      </c>
      <c r="L12" s="179">
        <f>H11-L11</f>
        <v>-16284400</v>
      </c>
      <c r="M12" s="179">
        <f>I11-M11</f>
        <v>0</v>
      </c>
    </row>
    <row r="13" spans="1:14" s="10" customFormat="1" ht="187.5">
      <c r="A13" s="271" t="s">
        <v>130</v>
      </c>
      <c r="B13" s="271" t="s">
        <v>131</v>
      </c>
      <c r="C13" s="271" t="s">
        <v>132</v>
      </c>
      <c r="D13" s="283" t="s">
        <v>133</v>
      </c>
      <c r="E13" s="22" t="s">
        <v>528</v>
      </c>
      <c r="F13" s="22" t="s">
        <v>68</v>
      </c>
      <c r="G13" s="81">
        <v>180000</v>
      </c>
      <c r="H13" s="82">
        <v>180000</v>
      </c>
      <c r="I13" s="32">
        <v>1</v>
      </c>
      <c r="J13" s="81">
        <v>180000</v>
      </c>
      <c r="K13" s="179"/>
      <c r="L13" s="179"/>
      <c r="M13" s="179"/>
    </row>
    <row r="14" spans="1:14" s="10" customFormat="1">
      <c r="A14" s="272"/>
      <c r="B14" s="272"/>
      <c r="C14" s="272"/>
      <c r="D14" s="284"/>
      <c r="E14" s="22" t="s">
        <v>3</v>
      </c>
      <c r="F14" s="83"/>
      <c r="G14" s="81">
        <v>-20000</v>
      </c>
      <c r="H14" s="82">
        <v>-20000</v>
      </c>
      <c r="I14" s="32"/>
      <c r="J14" s="81">
        <v>-20000</v>
      </c>
      <c r="K14" s="179"/>
      <c r="L14" s="179"/>
      <c r="M14" s="179"/>
    </row>
    <row r="15" spans="1:14" s="10" customFormat="1" ht="56.25">
      <c r="A15" s="273"/>
      <c r="B15" s="273"/>
      <c r="C15" s="273"/>
      <c r="D15" s="285"/>
      <c r="E15" s="22" t="s">
        <v>530</v>
      </c>
      <c r="F15" s="83"/>
      <c r="G15" s="81">
        <v>20000</v>
      </c>
      <c r="H15" s="82">
        <v>20000</v>
      </c>
      <c r="I15" s="32"/>
      <c r="J15" s="81">
        <v>20000</v>
      </c>
      <c r="K15" s="179"/>
      <c r="L15" s="179"/>
      <c r="M15" s="179"/>
    </row>
    <row r="16" spans="1:14" s="10" customFormat="1" ht="93.75">
      <c r="A16" s="30" t="s">
        <v>526</v>
      </c>
      <c r="B16" s="253"/>
      <c r="C16" s="253"/>
      <c r="D16" s="11" t="s">
        <v>525</v>
      </c>
      <c r="E16" s="11" t="s">
        <v>527</v>
      </c>
      <c r="F16" s="69" t="s">
        <v>68</v>
      </c>
      <c r="G16" s="82">
        <v>12200</v>
      </c>
      <c r="H16" s="82">
        <v>12200</v>
      </c>
      <c r="I16" s="82"/>
      <c r="J16" s="82">
        <v>12200</v>
      </c>
      <c r="K16" s="179"/>
      <c r="L16" s="179"/>
      <c r="M16" s="179"/>
    </row>
    <row r="17" spans="1:15" s="10" customFormat="1">
      <c r="A17" s="271" t="s">
        <v>22</v>
      </c>
      <c r="B17" s="271" t="s">
        <v>23</v>
      </c>
      <c r="C17" s="271" t="s">
        <v>8</v>
      </c>
      <c r="D17" s="298" t="s">
        <v>24</v>
      </c>
      <c r="E17" s="11" t="s">
        <v>3</v>
      </c>
      <c r="F17" s="251"/>
      <c r="G17" s="82">
        <f>-140000+50100</f>
        <v>-89900</v>
      </c>
      <c r="H17" s="82">
        <f>-140000+50100</f>
        <v>-89900</v>
      </c>
      <c r="I17" s="82"/>
      <c r="J17" s="82">
        <f>-140000+50100</f>
        <v>-89900</v>
      </c>
      <c r="K17" s="179"/>
      <c r="L17" s="179"/>
      <c r="M17" s="179"/>
    </row>
    <row r="18" spans="1:15" ht="93.75">
      <c r="A18" s="273"/>
      <c r="B18" s="273"/>
      <c r="C18" s="273"/>
      <c r="D18" s="298"/>
      <c r="E18" s="22" t="s">
        <v>524</v>
      </c>
      <c r="F18" s="51" t="s">
        <v>68</v>
      </c>
      <c r="G18" s="53">
        <f>140000+99000</f>
        <v>239000</v>
      </c>
      <c r="H18" s="53">
        <f>140000+99000</f>
        <v>239000</v>
      </c>
      <c r="I18" s="34">
        <v>1</v>
      </c>
      <c r="J18" s="60">
        <f>140000+99000</f>
        <v>239000</v>
      </c>
      <c r="L18" s="1"/>
    </row>
    <row r="19" spans="1:15">
      <c r="A19" s="5" t="s">
        <v>25</v>
      </c>
      <c r="B19" s="5"/>
      <c r="C19" s="5"/>
      <c r="D19" s="289" t="s">
        <v>14</v>
      </c>
      <c r="E19" s="290"/>
      <c r="F19" s="223"/>
      <c r="G19" s="55">
        <f>G20</f>
        <v>-32058</v>
      </c>
      <c r="H19" s="55">
        <f>H20</f>
        <v>-32058</v>
      </c>
      <c r="I19" s="33"/>
      <c r="J19" s="55">
        <f>J20</f>
        <v>-32058</v>
      </c>
      <c r="K19" s="142"/>
      <c r="L19" s="142"/>
      <c r="M19" s="142"/>
      <c r="N19" s="142"/>
    </row>
    <row r="20" spans="1:15">
      <c r="A20" s="5" t="s">
        <v>26</v>
      </c>
      <c r="B20" s="6"/>
      <c r="C20" s="6"/>
      <c r="D20" s="289" t="s">
        <v>14</v>
      </c>
      <c r="E20" s="290"/>
      <c r="F20" s="223"/>
      <c r="G20" s="55">
        <f>G21+G22+G23+G24</f>
        <v>-32058</v>
      </c>
      <c r="H20" s="55">
        <f t="shared" ref="H20:J20" si="1">H21+H22+H23+H24</f>
        <v>-32058</v>
      </c>
      <c r="I20" s="55"/>
      <c r="J20" s="55">
        <f t="shared" si="1"/>
        <v>-32058</v>
      </c>
      <c r="K20" s="142"/>
      <c r="L20" s="142"/>
      <c r="M20" s="142"/>
      <c r="N20" s="142"/>
    </row>
    <row r="21" spans="1:15" ht="112.5">
      <c r="A21" s="221" t="s">
        <v>27</v>
      </c>
      <c r="B21" s="221" t="s">
        <v>15</v>
      </c>
      <c r="C21" s="221" t="s">
        <v>16</v>
      </c>
      <c r="D21" s="239" t="s">
        <v>28</v>
      </c>
      <c r="E21" s="22" t="s">
        <v>479</v>
      </c>
      <c r="F21" s="85" t="s">
        <v>68</v>
      </c>
      <c r="G21" s="244">
        <v>14433</v>
      </c>
      <c r="H21" s="245">
        <v>14433</v>
      </c>
      <c r="I21" s="242"/>
      <c r="J21" s="244">
        <v>14433</v>
      </c>
      <c r="L21" s="1"/>
    </row>
    <row r="22" spans="1:15" ht="131.25">
      <c r="A22" s="258" t="s">
        <v>29</v>
      </c>
      <c r="B22" s="258" t="s">
        <v>17</v>
      </c>
      <c r="C22" s="258" t="s">
        <v>18</v>
      </c>
      <c r="D22" s="260" t="s">
        <v>19</v>
      </c>
      <c r="E22" s="85" t="s">
        <v>3</v>
      </c>
      <c r="F22" s="241" t="s">
        <v>68</v>
      </c>
      <c r="G22" s="244">
        <v>-415980</v>
      </c>
      <c r="H22" s="245">
        <v>-415980</v>
      </c>
      <c r="I22" s="242"/>
      <c r="J22" s="244">
        <v>-415980</v>
      </c>
      <c r="L22" s="1"/>
    </row>
    <row r="23" spans="1:15" ht="150">
      <c r="A23" s="238" t="s">
        <v>149</v>
      </c>
      <c r="B23" s="238" t="s">
        <v>150</v>
      </c>
      <c r="C23" s="238" t="s">
        <v>151</v>
      </c>
      <c r="D23" s="240" t="s">
        <v>152</v>
      </c>
      <c r="E23" s="85" t="s">
        <v>3</v>
      </c>
      <c r="F23" s="241" t="s">
        <v>68</v>
      </c>
      <c r="G23" s="244">
        <f>200000-30511</f>
        <v>169489</v>
      </c>
      <c r="H23" s="245">
        <f>200000-30511</f>
        <v>169489</v>
      </c>
      <c r="I23" s="242"/>
      <c r="J23" s="244">
        <f>200000-30511</f>
        <v>169489</v>
      </c>
      <c r="L23" s="1"/>
    </row>
    <row r="24" spans="1:15" ht="75">
      <c r="A24" s="258" t="s">
        <v>452</v>
      </c>
      <c r="B24" s="258" t="s">
        <v>454</v>
      </c>
      <c r="C24" s="258" t="s">
        <v>455</v>
      </c>
      <c r="D24" s="261" t="s">
        <v>453</v>
      </c>
      <c r="E24" s="22" t="s">
        <v>3</v>
      </c>
      <c r="F24" s="241" t="s">
        <v>68</v>
      </c>
      <c r="G24" s="244">
        <v>200000</v>
      </c>
      <c r="H24" s="245">
        <v>200000</v>
      </c>
      <c r="I24" s="242"/>
      <c r="J24" s="244">
        <v>200000</v>
      </c>
      <c r="L24" s="1"/>
    </row>
    <row r="25" spans="1:15" s="10" customFormat="1">
      <c r="A25" s="5" t="s">
        <v>167</v>
      </c>
      <c r="B25" s="5"/>
      <c r="C25" s="5"/>
      <c r="D25" s="268" t="s">
        <v>168</v>
      </c>
      <c r="E25" s="269"/>
      <c r="F25" s="219"/>
      <c r="G25" s="55">
        <f>G26</f>
        <v>40000</v>
      </c>
      <c r="H25" s="55">
        <f>H26</f>
        <v>40000</v>
      </c>
      <c r="I25" s="33"/>
      <c r="J25" s="55">
        <f>J26</f>
        <v>40000</v>
      </c>
    </row>
    <row r="26" spans="1:15" s="10" customFormat="1">
      <c r="A26" s="5" t="s">
        <v>169</v>
      </c>
      <c r="B26" s="5"/>
      <c r="C26" s="5"/>
      <c r="D26" s="268" t="s">
        <v>168</v>
      </c>
      <c r="E26" s="269"/>
      <c r="F26" s="219"/>
      <c r="G26" s="55">
        <f>G27+G28+G29</f>
        <v>40000</v>
      </c>
      <c r="H26" s="55">
        <f t="shared" ref="H26:J26" si="2">H27+H28+H29</f>
        <v>40000</v>
      </c>
      <c r="I26" s="55"/>
      <c r="J26" s="55">
        <f t="shared" si="2"/>
        <v>40000</v>
      </c>
    </row>
    <row r="27" spans="1:15" ht="37.5">
      <c r="A27" s="6" t="s">
        <v>170</v>
      </c>
      <c r="B27" s="6" t="s">
        <v>171</v>
      </c>
      <c r="C27" s="6" t="s">
        <v>172</v>
      </c>
      <c r="D27" s="7" t="s">
        <v>173</v>
      </c>
      <c r="E27" s="22" t="s">
        <v>3</v>
      </c>
      <c r="F27" s="22" t="s">
        <v>68</v>
      </c>
      <c r="G27" s="53">
        <v>40000</v>
      </c>
      <c r="H27" s="56">
        <v>40000</v>
      </c>
      <c r="I27" s="32">
        <v>1</v>
      </c>
      <c r="J27" s="53">
        <v>40000</v>
      </c>
      <c r="L27" s="1"/>
    </row>
    <row r="28" spans="1:15" ht="75">
      <c r="A28" s="30" t="s">
        <v>177</v>
      </c>
      <c r="B28" s="30" t="s">
        <v>178</v>
      </c>
      <c r="C28" s="30" t="s">
        <v>179</v>
      </c>
      <c r="D28" s="257" t="s">
        <v>180</v>
      </c>
      <c r="E28" s="22" t="s">
        <v>3</v>
      </c>
      <c r="F28" s="83" t="s">
        <v>68</v>
      </c>
      <c r="G28" s="53">
        <v>1400000</v>
      </c>
      <c r="H28" s="56">
        <v>1400000</v>
      </c>
      <c r="I28" s="32"/>
      <c r="J28" s="53">
        <v>1400000</v>
      </c>
      <c r="L28" s="1"/>
    </row>
    <row r="29" spans="1:15" ht="56.25">
      <c r="A29" s="254" t="s">
        <v>181</v>
      </c>
      <c r="B29" s="254" t="s">
        <v>52</v>
      </c>
      <c r="C29" s="254" t="s">
        <v>10</v>
      </c>
      <c r="D29" s="63" t="s">
        <v>35</v>
      </c>
      <c r="E29" s="22" t="s">
        <v>182</v>
      </c>
      <c r="F29" s="83"/>
      <c r="G29" s="53">
        <v>-1400000</v>
      </c>
      <c r="H29" s="56">
        <v>-1400000</v>
      </c>
      <c r="I29" s="56"/>
      <c r="J29" s="53">
        <v>-1400000</v>
      </c>
      <c r="L29" s="1"/>
    </row>
    <row r="30" spans="1:15" s="10" customFormat="1" ht="49.5" customHeight="1">
      <c r="A30" s="5" t="s">
        <v>30</v>
      </c>
      <c r="B30" s="5"/>
      <c r="C30" s="5"/>
      <c r="D30" s="268" t="s">
        <v>6</v>
      </c>
      <c r="E30" s="269"/>
      <c r="F30" s="219"/>
      <c r="G30" s="55">
        <f>G31</f>
        <v>3682845</v>
      </c>
      <c r="H30" s="55">
        <f>H31</f>
        <v>3282845</v>
      </c>
      <c r="I30" s="33"/>
      <c r="J30" s="55">
        <f>J31</f>
        <v>501564.99999999994</v>
      </c>
      <c r="K30" s="179"/>
      <c r="L30" s="179"/>
      <c r="M30" s="179"/>
      <c r="N30" s="179"/>
      <c r="O30" s="179"/>
    </row>
    <row r="31" spans="1:15" s="10" customFormat="1" ht="48" customHeight="1">
      <c r="A31" s="5" t="s">
        <v>31</v>
      </c>
      <c r="B31" s="5"/>
      <c r="C31" s="5"/>
      <c r="D31" s="268" t="s">
        <v>6</v>
      </c>
      <c r="E31" s="269"/>
      <c r="F31" s="219"/>
      <c r="G31" s="55">
        <f>G32+G33+G53+G67+G70</f>
        <v>3682845</v>
      </c>
      <c r="H31" s="55">
        <f>H32+H33+H53+H67+H70</f>
        <v>3282845</v>
      </c>
      <c r="I31" s="55">
        <f>I32+I33+I53+I67+I70</f>
        <v>0</v>
      </c>
      <c r="J31" s="55">
        <f>J32+J33+J53+J67+J70</f>
        <v>501564.99999999994</v>
      </c>
      <c r="K31" s="179"/>
      <c r="L31" s="179"/>
      <c r="M31" s="179"/>
      <c r="N31" s="179"/>
    </row>
    <row r="32" spans="1:15" ht="93.75">
      <c r="A32" s="6" t="s">
        <v>187</v>
      </c>
      <c r="B32" s="6" t="s">
        <v>161</v>
      </c>
      <c r="C32" s="6" t="s">
        <v>141</v>
      </c>
      <c r="D32" s="7" t="s">
        <v>162</v>
      </c>
      <c r="E32" s="22" t="s">
        <v>3</v>
      </c>
      <c r="F32" s="22" t="s">
        <v>68</v>
      </c>
      <c r="G32" s="53">
        <v>-3435</v>
      </c>
      <c r="H32" s="53">
        <v>-3435</v>
      </c>
      <c r="I32" s="34"/>
      <c r="J32" s="53">
        <v>-3435</v>
      </c>
      <c r="L32" s="1"/>
    </row>
    <row r="33" spans="1:12" ht="18.75" customHeight="1">
      <c r="A33" s="271" t="s">
        <v>37</v>
      </c>
      <c r="B33" s="271" t="s">
        <v>36</v>
      </c>
      <c r="C33" s="271" t="s">
        <v>7</v>
      </c>
      <c r="D33" s="325" t="s">
        <v>38</v>
      </c>
      <c r="E33" s="27" t="s">
        <v>487</v>
      </c>
      <c r="F33" s="67"/>
      <c r="G33" s="55">
        <f>SUM(G34:G52)</f>
        <v>550213</v>
      </c>
      <c r="H33" s="55">
        <f t="shared" ref="H33:J33" si="3">SUM(H34:H52)</f>
        <v>550213</v>
      </c>
      <c r="I33" s="55"/>
      <c r="J33" s="55">
        <f t="shared" si="3"/>
        <v>479999.99999999994</v>
      </c>
      <c r="L33" s="1"/>
    </row>
    <row r="34" spans="1:12" ht="56.25">
      <c r="A34" s="272"/>
      <c r="B34" s="272"/>
      <c r="C34" s="272"/>
      <c r="D34" s="326"/>
      <c r="E34" s="42" t="s">
        <v>490</v>
      </c>
      <c r="F34" s="42" t="s">
        <v>68</v>
      </c>
      <c r="G34" s="57">
        <v>-217039</v>
      </c>
      <c r="H34" s="57">
        <v>-217039</v>
      </c>
      <c r="I34" s="40"/>
      <c r="J34" s="57">
        <v>-217039</v>
      </c>
      <c r="L34" s="1"/>
    </row>
    <row r="35" spans="1:12" ht="56.25">
      <c r="A35" s="272"/>
      <c r="B35" s="272"/>
      <c r="C35" s="272"/>
      <c r="D35" s="326"/>
      <c r="E35" s="42" t="s">
        <v>389</v>
      </c>
      <c r="F35" s="42" t="s">
        <v>68</v>
      </c>
      <c r="G35" s="57">
        <v>-2191.31</v>
      </c>
      <c r="H35" s="57">
        <v>-2191.31</v>
      </c>
      <c r="I35" s="40"/>
      <c r="J35" s="57">
        <v>-2191.31</v>
      </c>
      <c r="L35" s="1"/>
    </row>
    <row r="36" spans="1:12" ht="56.25">
      <c r="A36" s="272"/>
      <c r="B36" s="272"/>
      <c r="C36" s="272"/>
      <c r="D36" s="326"/>
      <c r="E36" s="42" t="s">
        <v>491</v>
      </c>
      <c r="F36" s="42" t="s">
        <v>68</v>
      </c>
      <c r="G36" s="57">
        <v>-3163.99</v>
      </c>
      <c r="H36" s="57">
        <v>-3163.99</v>
      </c>
      <c r="I36" s="40"/>
      <c r="J36" s="57">
        <v>-3163.99</v>
      </c>
      <c r="L36" s="1"/>
    </row>
    <row r="37" spans="1:12" ht="75">
      <c r="A37" s="272"/>
      <c r="B37" s="272"/>
      <c r="C37" s="272"/>
      <c r="D37" s="326"/>
      <c r="E37" s="62" t="s">
        <v>399</v>
      </c>
      <c r="F37" s="42" t="s">
        <v>68</v>
      </c>
      <c r="G37" s="57">
        <v>-241.66</v>
      </c>
      <c r="H37" s="57">
        <v>-241.66</v>
      </c>
      <c r="I37" s="40"/>
      <c r="J37" s="57">
        <v>-241.66</v>
      </c>
      <c r="L37" s="1"/>
    </row>
    <row r="38" spans="1:12" ht="75">
      <c r="A38" s="272"/>
      <c r="B38" s="272"/>
      <c r="C38" s="272"/>
      <c r="D38" s="326"/>
      <c r="E38" s="62" t="s">
        <v>403</v>
      </c>
      <c r="F38" s="42" t="s">
        <v>68</v>
      </c>
      <c r="G38" s="57">
        <v>-6261.11</v>
      </c>
      <c r="H38" s="57">
        <v>-6261.11</v>
      </c>
      <c r="I38" s="40"/>
      <c r="J38" s="57">
        <v>-6261.11</v>
      </c>
      <c r="L38" s="1"/>
    </row>
    <row r="39" spans="1:12" ht="42" customHeight="1">
      <c r="A39" s="272"/>
      <c r="B39" s="272"/>
      <c r="C39" s="272"/>
      <c r="D39" s="326"/>
      <c r="E39" s="42" t="s">
        <v>492</v>
      </c>
      <c r="F39" s="42" t="s">
        <v>68</v>
      </c>
      <c r="G39" s="57">
        <v>-23376</v>
      </c>
      <c r="H39" s="57">
        <v>-23376</v>
      </c>
      <c r="I39" s="40"/>
      <c r="J39" s="57">
        <v>-23376</v>
      </c>
      <c r="L39" s="1"/>
    </row>
    <row r="40" spans="1:12" ht="44.25" customHeight="1">
      <c r="A40" s="272"/>
      <c r="B40" s="272"/>
      <c r="C40" s="272"/>
      <c r="D40" s="326"/>
      <c r="E40" s="42" t="s">
        <v>493</v>
      </c>
      <c r="F40" s="42" t="s">
        <v>68</v>
      </c>
      <c r="G40" s="57">
        <v>-1902.92</v>
      </c>
      <c r="H40" s="57">
        <v>-1902.92</v>
      </c>
      <c r="I40" s="40"/>
      <c r="J40" s="57">
        <v>-1902.92</v>
      </c>
      <c r="L40" s="1"/>
    </row>
    <row r="41" spans="1:12" ht="42" customHeight="1">
      <c r="A41" s="272"/>
      <c r="B41" s="272"/>
      <c r="C41" s="272"/>
      <c r="D41" s="326"/>
      <c r="E41" s="42" t="s">
        <v>494</v>
      </c>
      <c r="F41" s="42" t="s">
        <v>68</v>
      </c>
      <c r="G41" s="57">
        <v>-129485.27</v>
      </c>
      <c r="H41" s="57">
        <v>-129485.27</v>
      </c>
      <c r="I41" s="40"/>
      <c r="J41" s="57">
        <v>-129485.27</v>
      </c>
      <c r="L41" s="1"/>
    </row>
    <row r="42" spans="1:12" ht="75">
      <c r="A42" s="272"/>
      <c r="B42" s="272"/>
      <c r="C42" s="272"/>
      <c r="D42" s="326"/>
      <c r="E42" s="42" t="s">
        <v>495</v>
      </c>
      <c r="F42" s="42" t="s">
        <v>68</v>
      </c>
      <c r="G42" s="57">
        <v>-88.96</v>
      </c>
      <c r="H42" s="57">
        <v>-88.96</v>
      </c>
      <c r="I42" s="40"/>
      <c r="J42" s="57">
        <v>-88.96</v>
      </c>
      <c r="L42" s="1"/>
    </row>
    <row r="43" spans="1:12" ht="56.25">
      <c r="A43" s="272"/>
      <c r="B43" s="272"/>
      <c r="C43" s="272"/>
      <c r="D43" s="326"/>
      <c r="E43" s="42" t="s">
        <v>498</v>
      </c>
      <c r="F43" s="42" t="s">
        <v>68</v>
      </c>
      <c r="G43" s="57">
        <v>-35824</v>
      </c>
      <c r="H43" s="57">
        <v>-35824</v>
      </c>
      <c r="I43" s="40"/>
      <c r="J43" s="57">
        <v>-35824</v>
      </c>
      <c r="L43" s="1"/>
    </row>
    <row r="44" spans="1:12" ht="45.75" customHeight="1">
      <c r="A44" s="272"/>
      <c r="B44" s="272"/>
      <c r="C44" s="272"/>
      <c r="D44" s="326"/>
      <c r="E44" s="42" t="s">
        <v>496</v>
      </c>
      <c r="F44" s="42" t="s">
        <v>68</v>
      </c>
      <c r="G44" s="57">
        <v>-30336</v>
      </c>
      <c r="H44" s="57">
        <v>-30336</v>
      </c>
      <c r="I44" s="40"/>
      <c r="J44" s="57">
        <v>-30336</v>
      </c>
      <c r="L44" s="1"/>
    </row>
    <row r="45" spans="1:12" ht="56.25">
      <c r="A45" s="272"/>
      <c r="B45" s="272"/>
      <c r="C45" s="272"/>
      <c r="D45" s="326"/>
      <c r="E45" s="42" t="s">
        <v>497</v>
      </c>
      <c r="F45" s="42" t="s">
        <v>68</v>
      </c>
      <c r="G45" s="57">
        <v>-89.78</v>
      </c>
      <c r="H45" s="57">
        <v>-89.78</v>
      </c>
      <c r="I45" s="40"/>
      <c r="J45" s="57">
        <v>-89.78</v>
      </c>
      <c r="L45" s="1"/>
    </row>
    <row r="46" spans="1:12" s="43" customFormat="1" ht="75">
      <c r="A46" s="272"/>
      <c r="B46" s="272"/>
      <c r="C46" s="272"/>
      <c r="D46" s="326"/>
      <c r="E46" s="42" t="s">
        <v>489</v>
      </c>
      <c r="F46" s="94" t="s">
        <v>68</v>
      </c>
      <c r="G46" s="57">
        <v>450000</v>
      </c>
      <c r="H46" s="57">
        <v>450000</v>
      </c>
      <c r="I46" s="40">
        <v>1</v>
      </c>
      <c r="J46" s="57">
        <v>450000</v>
      </c>
    </row>
    <row r="47" spans="1:12" s="43" customFormat="1" ht="56.25">
      <c r="A47" s="272"/>
      <c r="B47" s="272"/>
      <c r="C47" s="272"/>
      <c r="D47" s="326"/>
      <c r="E47" s="42" t="s">
        <v>523</v>
      </c>
      <c r="F47" s="42" t="s">
        <v>68</v>
      </c>
      <c r="G47" s="87">
        <v>-186000</v>
      </c>
      <c r="H47" s="87">
        <v>-186000</v>
      </c>
      <c r="I47" s="40"/>
      <c r="J47" s="87">
        <v>-186000</v>
      </c>
    </row>
    <row r="48" spans="1:12" s="43" customFormat="1" ht="93.75">
      <c r="A48" s="272"/>
      <c r="B48" s="272"/>
      <c r="C48" s="272"/>
      <c r="D48" s="326"/>
      <c r="E48" s="42" t="s">
        <v>522</v>
      </c>
      <c r="F48" s="94" t="s">
        <v>68</v>
      </c>
      <c r="G48" s="57">
        <v>186000</v>
      </c>
      <c r="H48" s="57">
        <v>186000</v>
      </c>
      <c r="I48" s="40"/>
      <c r="J48" s="57">
        <v>186000</v>
      </c>
    </row>
    <row r="49" spans="1:12" s="43" customFormat="1" ht="133.5">
      <c r="A49" s="272"/>
      <c r="B49" s="272"/>
      <c r="C49" s="272"/>
      <c r="D49" s="326"/>
      <c r="E49" s="42" t="s">
        <v>532</v>
      </c>
      <c r="F49" s="94" t="s">
        <v>68</v>
      </c>
      <c r="G49" s="57">
        <v>100000</v>
      </c>
      <c r="H49" s="57">
        <v>100000</v>
      </c>
      <c r="I49" s="40"/>
      <c r="J49" s="57"/>
    </row>
    <row r="50" spans="1:12" s="43" customFormat="1" ht="152.25">
      <c r="A50" s="272"/>
      <c r="B50" s="272"/>
      <c r="C50" s="272"/>
      <c r="D50" s="326"/>
      <c r="E50" s="42" t="s">
        <v>533</v>
      </c>
      <c r="F50" s="94" t="s">
        <v>68</v>
      </c>
      <c r="G50" s="57">
        <v>65213</v>
      </c>
      <c r="H50" s="57">
        <v>65213</v>
      </c>
      <c r="I50" s="40"/>
      <c r="J50" s="57"/>
    </row>
    <row r="51" spans="1:12" s="43" customFormat="1" ht="152.25">
      <c r="A51" s="272"/>
      <c r="B51" s="272"/>
      <c r="C51" s="272"/>
      <c r="D51" s="326"/>
      <c r="E51" s="62" t="s">
        <v>367</v>
      </c>
      <c r="F51" s="42" t="s">
        <v>68</v>
      </c>
      <c r="G51" s="57">
        <v>-95000</v>
      </c>
      <c r="H51" s="57">
        <v>-95000</v>
      </c>
      <c r="I51" s="40"/>
      <c r="J51" s="57"/>
    </row>
    <row r="52" spans="1:12" s="43" customFormat="1" ht="153.75">
      <c r="A52" s="273"/>
      <c r="B52" s="273"/>
      <c r="C52" s="273"/>
      <c r="D52" s="327"/>
      <c r="E52" s="42" t="s">
        <v>529</v>
      </c>
      <c r="F52" s="94" t="s">
        <v>68</v>
      </c>
      <c r="G52" s="57">
        <v>480000</v>
      </c>
      <c r="H52" s="57">
        <v>480000</v>
      </c>
      <c r="I52" s="40"/>
      <c r="J52" s="57">
        <v>480000</v>
      </c>
    </row>
    <row r="53" spans="1:12" s="170" customFormat="1" ht="30" customHeight="1">
      <c r="A53" s="271" t="s">
        <v>50</v>
      </c>
      <c r="B53" s="271" t="s">
        <v>23</v>
      </c>
      <c r="C53" s="271" t="s">
        <v>8</v>
      </c>
      <c r="D53" s="276" t="s">
        <v>73</v>
      </c>
      <c r="E53" s="277"/>
      <c r="F53" s="23" t="s">
        <v>68</v>
      </c>
      <c r="G53" s="53">
        <f>G54+G55+G56+G57+G58+G59+G60+G61+G62+G63+G64+G65+G66</f>
        <v>175575</v>
      </c>
      <c r="H53" s="53">
        <f t="shared" ref="H53:J53" si="4">H54+H55+H56+H57+H58+H59+H60+H61+H62+H63+H64+H65+H66</f>
        <v>175575</v>
      </c>
      <c r="I53" s="53"/>
      <c r="J53" s="53">
        <f t="shared" si="4"/>
        <v>25000</v>
      </c>
      <c r="K53" s="190"/>
      <c r="L53" s="190"/>
    </row>
    <row r="54" spans="1:12" s="170" customFormat="1" ht="83.25" customHeight="1">
      <c r="A54" s="272"/>
      <c r="B54" s="272"/>
      <c r="C54" s="272"/>
      <c r="D54" s="299"/>
      <c r="E54" s="227" t="s">
        <v>480</v>
      </c>
      <c r="F54" s="228" t="s">
        <v>68</v>
      </c>
      <c r="G54" s="246">
        <v>-900000</v>
      </c>
      <c r="H54" s="246">
        <v>-900000</v>
      </c>
      <c r="I54" s="34"/>
      <c r="J54" s="246"/>
      <c r="K54" s="190"/>
      <c r="L54" s="190"/>
    </row>
    <row r="55" spans="1:12" s="170" customFormat="1" ht="93.75">
      <c r="A55" s="272"/>
      <c r="B55" s="272"/>
      <c r="C55" s="272"/>
      <c r="D55" s="301"/>
      <c r="E55" s="227" t="s">
        <v>481</v>
      </c>
      <c r="F55" s="228" t="s">
        <v>68</v>
      </c>
      <c r="G55" s="246">
        <f>-900000+600000</f>
        <v>-300000</v>
      </c>
      <c r="H55" s="246">
        <f>-900000+600000</f>
        <v>-300000</v>
      </c>
      <c r="I55" s="34"/>
      <c r="J55" s="246"/>
    </row>
    <row r="56" spans="1:12" s="170" customFormat="1" ht="132.75" customHeight="1">
      <c r="A56" s="272"/>
      <c r="B56" s="272"/>
      <c r="C56" s="272"/>
      <c r="D56" s="301"/>
      <c r="E56" s="227" t="s">
        <v>482</v>
      </c>
      <c r="F56" s="228" t="s">
        <v>68</v>
      </c>
      <c r="G56" s="246">
        <v>250000</v>
      </c>
      <c r="H56" s="246">
        <v>250000</v>
      </c>
      <c r="I56" s="34"/>
      <c r="J56" s="246"/>
    </row>
    <row r="57" spans="1:12" s="199" customFormat="1" ht="83.25" customHeight="1">
      <c r="A57" s="272"/>
      <c r="B57" s="272"/>
      <c r="C57" s="272"/>
      <c r="D57" s="301"/>
      <c r="E57" s="227" t="s">
        <v>504</v>
      </c>
      <c r="F57" s="228" t="s">
        <v>68</v>
      </c>
      <c r="G57" s="246">
        <f>280788+50000</f>
        <v>330788</v>
      </c>
      <c r="H57" s="246">
        <f>280788+50000</f>
        <v>330788</v>
      </c>
      <c r="I57" s="34"/>
      <c r="J57" s="246"/>
    </row>
    <row r="58" spans="1:12" s="170" customFormat="1" ht="97.5" customHeight="1">
      <c r="A58" s="272"/>
      <c r="B58" s="272"/>
      <c r="C58" s="272"/>
      <c r="D58" s="301"/>
      <c r="E58" s="227" t="s">
        <v>483</v>
      </c>
      <c r="F58" s="228" t="s">
        <v>68</v>
      </c>
      <c r="G58" s="246">
        <v>50000</v>
      </c>
      <c r="H58" s="246">
        <v>50000</v>
      </c>
      <c r="I58" s="40"/>
      <c r="J58" s="246"/>
    </row>
    <row r="59" spans="1:12" s="170" customFormat="1" ht="99" customHeight="1">
      <c r="A59" s="272"/>
      <c r="B59" s="272"/>
      <c r="C59" s="272"/>
      <c r="D59" s="301"/>
      <c r="E59" s="227" t="s">
        <v>484</v>
      </c>
      <c r="F59" s="228" t="s">
        <v>68</v>
      </c>
      <c r="G59" s="246">
        <f>50000-50000</f>
        <v>0</v>
      </c>
      <c r="H59" s="246">
        <f>50000-50000</f>
        <v>0</v>
      </c>
      <c r="I59" s="40"/>
      <c r="J59" s="246"/>
    </row>
    <row r="60" spans="1:12" s="170" customFormat="1" ht="78" customHeight="1">
      <c r="A60" s="272"/>
      <c r="B60" s="272"/>
      <c r="C60" s="272"/>
      <c r="D60" s="301"/>
      <c r="E60" s="227" t="s">
        <v>507</v>
      </c>
      <c r="F60" s="228" t="s">
        <v>68</v>
      </c>
      <c r="G60" s="246">
        <f>470000+80000</f>
        <v>550000</v>
      </c>
      <c r="H60" s="246">
        <f>470000+80000</f>
        <v>550000</v>
      </c>
      <c r="I60" s="40"/>
      <c r="J60" s="246"/>
    </row>
    <row r="61" spans="1:12" s="170" customFormat="1" ht="93.75">
      <c r="A61" s="272"/>
      <c r="B61" s="272"/>
      <c r="C61" s="272"/>
      <c r="D61" s="301"/>
      <c r="E61" s="227" t="s">
        <v>485</v>
      </c>
      <c r="F61" s="228" t="s">
        <v>68</v>
      </c>
      <c r="G61" s="246">
        <v>240000</v>
      </c>
      <c r="H61" s="246">
        <v>240000</v>
      </c>
      <c r="I61" s="40"/>
      <c r="J61" s="246"/>
    </row>
    <row r="62" spans="1:12" s="170" customFormat="1" ht="112.5">
      <c r="A62" s="272"/>
      <c r="B62" s="272"/>
      <c r="C62" s="272"/>
      <c r="D62" s="301"/>
      <c r="E62" s="148" t="s">
        <v>371</v>
      </c>
      <c r="F62" s="23" t="s">
        <v>68</v>
      </c>
      <c r="G62" s="149">
        <v>-100000</v>
      </c>
      <c r="H62" s="149">
        <v>-100000</v>
      </c>
      <c r="I62" s="40"/>
      <c r="J62" s="246"/>
    </row>
    <row r="63" spans="1:12" s="170" customFormat="1" ht="112.5">
      <c r="A63" s="272"/>
      <c r="B63" s="272"/>
      <c r="C63" s="272"/>
      <c r="D63" s="301"/>
      <c r="E63" s="148" t="s">
        <v>372</v>
      </c>
      <c r="F63" s="23" t="s">
        <v>68</v>
      </c>
      <c r="G63" s="149">
        <v>29787</v>
      </c>
      <c r="H63" s="149">
        <v>29787</v>
      </c>
      <c r="I63" s="40"/>
      <c r="J63" s="246"/>
    </row>
    <row r="64" spans="1:12" s="170" customFormat="1">
      <c r="A64" s="273"/>
      <c r="B64" s="273"/>
      <c r="C64" s="273"/>
      <c r="D64" s="300"/>
      <c r="E64" s="264" t="s">
        <v>537</v>
      </c>
      <c r="F64" s="23" t="s">
        <v>68</v>
      </c>
      <c r="G64" s="149">
        <v>25000</v>
      </c>
      <c r="H64" s="149">
        <v>25000</v>
      </c>
      <c r="I64" s="40"/>
      <c r="J64" s="246">
        <v>25000</v>
      </c>
    </row>
    <row r="65" spans="1:16" s="170" customFormat="1" ht="93.75">
      <c r="A65" s="266"/>
      <c r="B65" s="266"/>
      <c r="C65" s="266"/>
      <c r="D65" s="267"/>
      <c r="E65" s="64" t="s">
        <v>98</v>
      </c>
      <c r="F65" s="23" t="s">
        <v>68</v>
      </c>
      <c r="G65" s="53">
        <v>-450000</v>
      </c>
      <c r="H65" s="53">
        <v>-450000</v>
      </c>
      <c r="I65" s="34">
        <v>1</v>
      </c>
      <c r="J65" s="53">
        <v>-450000</v>
      </c>
    </row>
    <row r="66" spans="1:16" s="170" customFormat="1" ht="112.5">
      <c r="A66" s="266"/>
      <c r="B66" s="266"/>
      <c r="C66" s="266"/>
      <c r="D66" s="267"/>
      <c r="E66" s="264" t="s">
        <v>544</v>
      </c>
      <c r="F66" s="23" t="s">
        <v>68</v>
      </c>
      <c r="G66" s="149">
        <v>450000</v>
      </c>
      <c r="H66" s="149">
        <v>450000</v>
      </c>
      <c r="I66" s="34">
        <v>1</v>
      </c>
      <c r="J66" s="246">
        <v>450000</v>
      </c>
    </row>
    <row r="67" spans="1:16" s="170" customFormat="1" ht="37.5">
      <c r="A67" s="271" t="s">
        <v>45</v>
      </c>
      <c r="B67" s="271" t="s">
        <v>44</v>
      </c>
      <c r="C67" s="271" t="s">
        <v>11</v>
      </c>
      <c r="D67" s="283" t="s">
        <v>46</v>
      </c>
      <c r="E67" s="222" t="s">
        <v>269</v>
      </c>
      <c r="F67" s="11" t="s">
        <v>68</v>
      </c>
      <c r="G67" s="49">
        <f>G68+G69</f>
        <v>0</v>
      </c>
      <c r="H67" s="49">
        <f t="shared" ref="H67:J67" si="5">H68+H69</f>
        <v>0</v>
      </c>
      <c r="I67" s="35"/>
      <c r="J67" s="49">
        <f t="shared" si="5"/>
        <v>0</v>
      </c>
      <c r="K67" s="190"/>
      <c r="L67" s="190"/>
      <c r="M67" s="190"/>
      <c r="N67" s="190"/>
      <c r="O67" s="190"/>
      <c r="P67" s="190"/>
    </row>
    <row r="68" spans="1:16" s="170" customFormat="1">
      <c r="A68" s="272"/>
      <c r="B68" s="272"/>
      <c r="C68" s="272"/>
      <c r="D68" s="284"/>
      <c r="E68" s="45" t="s">
        <v>277</v>
      </c>
      <c r="F68" s="11" t="s">
        <v>68</v>
      </c>
      <c r="G68" s="59">
        <v>-170000</v>
      </c>
      <c r="H68" s="59">
        <v>-170000</v>
      </c>
      <c r="I68" s="35"/>
      <c r="J68" s="59">
        <v>-170000</v>
      </c>
    </row>
    <row r="69" spans="1:16" s="170" customFormat="1">
      <c r="A69" s="272"/>
      <c r="B69" s="272"/>
      <c r="C69" s="272"/>
      <c r="D69" s="284"/>
      <c r="E69" s="45" t="s">
        <v>478</v>
      </c>
      <c r="F69" s="11" t="s">
        <v>68</v>
      </c>
      <c r="G69" s="59">
        <v>170000</v>
      </c>
      <c r="H69" s="59">
        <v>170000</v>
      </c>
      <c r="I69" s="35">
        <v>1</v>
      </c>
      <c r="J69" s="59">
        <v>170000</v>
      </c>
    </row>
    <row r="70" spans="1:16" s="10" customFormat="1">
      <c r="A70" s="322" t="s">
        <v>43</v>
      </c>
      <c r="B70" s="322" t="s">
        <v>42</v>
      </c>
      <c r="C70" s="322" t="s">
        <v>12</v>
      </c>
      <c r="D70" s="324" t="s">
        <v>13</v>
      </c>
      <c r="E70" s="130" t="s">
        <v>470</v>
      </c>
      <c r="F70" s="126"/>
      <c r="G70" s="55">
        <f>SUM(G71:G91)</f>
        <v>2960492</v>
      </c>
      <c r="H70" s="55">
        <f t="shared" ref="H70" si="6">SUM(H71:H91)</f>
        <v>2560492</v>
      </c>
      <c r="I70" s="55"/>
      <c r="J70" s="55"/>
      <c r="K70" s="179"/>
      <c r="L70" s="179"/>
    </row>
    <row r="71" spans="1:16" s="43" customFormat="1" ht="114.75">
      <c r="A71" s="322"/>
      <c r="B71" s="322"/>
      <c r="C71" s="322"/>
      <c r="D71" s="324"/>
      <c r="E71" s="229" t="s">
        <v>512</v>
      </c>
      <c r="F71" s="250" t="s">
        <v>68</v>
      </c>
      <c r="G71" s="247">
        <v>72000</v>
      </c>
      <c r="H71" s="247">
        <v>72000</v>
      </c>
      <c r="I71" s="46"/>
      <c r="J71" s="247"/>
    </row>
    <row r="72" spans="1:16" s="43" customFormat="1" ht="117.75" customHeight="1">
      <c r="A72" s="322"/>
      <c r="B72" s="322"/>
      <c r="C72" s="322"/>
      <c r="D72" s="324"/>
      <c r="E72" s="229" t="s">
        <v>501</v>
      </c>
      <c r="F72" s="230" t="s">
        <v>68</v>
      </c>
      <c r="G72" s="247">
        <v>45989</v>
      </c>
      <c r="H72" s="247">
        <v>45989</v>
      </c>
      <c r="I72" s="46"/>
      <c r="J72" s="247"/>
    </row>
    <row r="73" spans="1:16" s="43" customFormat="1" ht="114.75">
      <c r="A73" s="322"/>
      <c r="B73" s="322"/>
      <c r="C73" s="322"/>
      <c r="D73" s="324"/>
      <c r="E73" s="229" t="s">
        <v>502</v>
      </c>
      <c r="F73" s="230" t="s">
        <v>68</v>
      </c>
      <c r="G73" s="247">
        <f>152023-152023</f>
        <v>0</v>
      </c>
      <c r="H73" s="247">
        <f>152023-152023</f>
        <v>0</v>
      </c>
      <c r="I73" s="46"/>
      <c r="J73" s="247"/>
    </row>
    <row r="74" spans="1:16" s="43" customFormat="1" ht="114.75">
      <c r="A74" s="322"/>
      <c r="B74" s="322"/>
      <c r="C74" s="322"/>
      <c r="D74" s="324"/>
      <c r="E74" s="229" t="s">
        <v>513</v>
      </c>
      <c r="F74" s="230" t="s">
        <v>68</v>
      </c>
      <c r="G74" s="247">
        <v>117530</v>
      </c>
      <c r="H74" s="247">
        <v>117530</v>
      </c>
      <c r="I74" s="46"/>
      <c r="J74" s="247"/>
    </row>
    <row r="75" spans="1:16" s="43" customFormat="1" ht="133.5">
      <c r="A75" s="322"/>
      <c r="B75" s="322"/>
      <c r="C75" s="322"/>
      <c r="D75" s="324"/>
      <c r="E75" s="229" t="s">
        <v>514</v>
      </c>
      <c r="F75" s="230" t="s">
        <v>68</v>
      </c>
      <c r="G75" s="247">
        <v>222504</v>
      </c>
      <c r="H75" s="247">
        <v>222504</v>
      </c>
      <c r="I75" s="46"/>
      <c r="J75" s="247"/>
    </row>
    <row r="76" spans="1:16" s="43" customFormat="1" ht="114.75">
      <c r="A76" s="322"/>
      <c r="B76" s="322"/>
      <c r="C76" s="322"/>
      <c r="D76" s="324"/>
      <c r="E76" s="229" t="s">
        <v>499</v>
      </c>
      <c r="F76" s="230" t="s">
        <v>68</v>
      </c>
      <c r="G76" s="247">
        <v>261783</v>
      </c>
      <c r="H76" s="247">
        <v>261783</v>
      </c>
      <c r="I76" s="46"/>
      <c r="J76" s="247"/>
    </row>
    <row r="77" spans="1:16" s="43" customFormat="1" ht="133.5">
      <c r="A77" s="322"/>
      <c r="B77" s="322"/>
      <c r="C77" s="322"/>
      <c r="D77" s="324"/>
      <c r="E77" s="229" t="s">
        <v>500</v>
      </c>
      <c r="F77" s="230" t="s">
        <v>68</v>
      </c>
      <c r="G77" s="247">
        <v>92620</v>
      </c>
      <c r="H77" s="247">
        <v>92620</v>
      </c>
      <c r="I77" s="46"/>
      <c r="J77" s="247"/>
    </row>
    <row r="78" spans="1:16" s="43" customFormat="1" ht="119.25" customHeight="1">
      <c r="A78" s="322"/>
      <c r="B78" s="322"/>
      <c r="C78" s="322"/>
      <c r="D78" s="324"/>
      <c r="E78" s="229" t="s">
        <v>509</v>
      </c>
      <c r="F78" s="230" t="s">
        <v>68</v>
      </c>
      <c r="G78" s="247">
        <v>324659</v>
      </c>
      <c r="H78" s="247">
        <v>324659</v>
      </c>
      <c r="I78" s="46"/>
      <c r="J78" s="247"/>
    </row>
    <row r="79" spans="1:16" s="43" customFormat="1" ht="133.5">
      <c r="A79" s="322"/>
      <c r="B79" s="322"/>
      <c r="C79" s="322"/>
      <c r="D79" s="324"/>
      <c r="E79" s="229" t="s">
        <v>511</v>
      </c>
      <c r="F79" s="230" t="s">
        <v>68</v>
      </c>
      <c r="G79" s="247">
        <v>470340</v>
      </c>
      <c r="H79" s="247">
        <v>470340</v>
      </c>
      <c r="I79" s="46"/>
      <c r="J79" s="247"/>
    </row>
    <row r="80" spans="1:16" s="43" customFormat="1" ht="133.5">
      <c r="A80" s="322"/>
      <c r="B80" s="322"/>
      <c r="C80" s="322"/>
      <c r="D80" s="324"/>
      <c r="E80" s="229" t="s">
        <v>518</v>
      </c>
      <c r="F80" s="230" t="s">
        <v>68</v>
      </c>
      <c r="G80" s="247">
        <v>265930</v>
      </c>
      <c r="H80" s="247">
        <v>265930</v>
      </c>
      <c r="I80" s="46"/>
      <c r="J80" s="247"/>
    </row>
    <row r="81" spans="1:10" s="43" customFormat="1" ht="114.75">
      <c r="A81" s="322"/>
      <c r="B81" s="322"/>
      <c r="C81" s="322"/>
      <c r="D81" s="324"/>
      <c r="E81" s="229" t="s">
        <v>519</v>
      </c>
      <c r="F81" s="230" t="s">
        <v>68</v>
      </c>
      <c r="G81" s="247">
        <v>265930</v>
      </c>
      <c r="H81" s="247">
        <v>265930</v>
      </c>
      <c r="I81" s="46"/>
      <c r="J81" s="247"/>
    </row>
    <row r="82" spans="1:10" s="43" customFormat="1" ht="114.75">
      <c r="A82" s="322"/>
      <c r="B82" s="322"/>
      <c r="C82" s="322"/>
      <c r="D82" s="324"/>
      <c r="E82" s="229" t="s">
        <v>505</v>
      </c>
      <c r="F82" s="230" t="s">
        <v>68</v>
      </c>
      <c r="G82" s="247">
        <f>85332-85332</f>
        <v>0</v>
      </c>
      <c r="H82" s="247">
        <f>85332-85332</f>
        <v>0</v>
      </c>
      <c r="I82" s="46"/>
      <c r="J82" s="247"/>
    </row>
    <row r="83" spans="1:10" s="43" customFormat="1" ht="133.5">
      <c r="A83" s="322"/>
      <c r="B83" s="322"/>
      <c r="C83" s="322"/>
      <c r="D83" s="324"/>
      <c r="E83" s="229" t="s">
        <v>515</v>
      </c>
      <c r="F83" s="250" t="s">
        <v>68</v>
      </c>
      <c r="G83" s="247">
        <v>250000</v>
      </c>
      <c r="H83" s="247">
        <v>250000</v>
      </c>
      <c r="I83" s="46"/>
      <c r="J83" s="247"/>
    </row>
    <row r="84" spans="1:10" s="43" customFormat="1" ht="114.75">
      <c r="A84" s="322"/>
      <c r="B84" s="322"/>
      <c r="C84" s="322"/>
      <c r="D84" s="324"/>
      <c r="E84" s="229" t="s">
        <v>534</v>
      </c>
      <c r="F84" s="250" t="s">
        <v>68</v>
      </c>
      <c r="G84" s="247">
        <v>640000</v>
      </c>
      <c r="H84" s="247">
        <v>640000</v>
      </c>
      <c r="I84" s="46"/>
      <c r="J84" s="247"/>
    </row>
    <row r="85" spans="1:10" s="43" customFormat="1" ht="133.5">
      <c r="A85" s="322"/>
      <c r="B85" s="322"/>
      <c r="C85" s="322"/>
      <c r="D85" s="324"/>
      <c r="E85" s="229" t="s">
        <v>517</v>
      </c>
      <c r="F85" s="250" t="s">
        <v>68</v>
      </c>
      <c r="G85" s="247">
        <v>137000</v>
      </c>
      <c r="H85" s="247">
        <v>137000</v>
      </c>
      <c r="I85" s="46"/>
      <c r="J85" s="247"/>
    </row>
    <row r="86" spans="1:10" s="43" customFormat="1" ht="114.75">
      <c r="A86" s="322"/>
      <c r="B86" s="322"/>
      <c r="C86" s="322"/>
      <c r="D86" s="324"/>
      <c r="E86" s="229" t="s">
        <v>506</v>
      </c>
      <c r="F86" s="230" t="s">
        <v>68</v>
      </c>
      <c r="G86" s="247">
        <v>240343</v>
      </c>
      <c r="H86" s="247">
        <v>240343</v>
      </c>
      <c r="I86" s="46"/>
      <c r="J86" s="247"/>
    </row>
    <row r="87" spans="1:10" s="43" customFormat="1" ht="118.5" customHeight="1">
      <c r="A87" s="322"/>
      <c r="B87" s="322"/>
      <c r="C87" s="322"/>
      <c r="D87" s="324"/>
      <c r="E87" s="229" t="s">
        <v>503</v>
      </c>
      <c r="F87" s="230" t="s">
        <v>68</v>
      </c>
      <c r="G87" s="247">
        <v>364694</v>
      </c>
      <c r="H87" s="247">
        <v>364694</v>
      </c>
      <c r="I87" s="46"/>
      <c r="J87" s="247"/>
    </row>
    <row r="88" spans="1:10" s="43" customFormat="1" ht="116.25" customHeight="1">
      <c r="A88" s="322"/>
      <c r="B88" s="322"/>
      <c r="C88" s="322"/>
      <c r="D88" s="324"/>
      <c r="E88" s="229" t="s">
        <v>510</v>
      </c>
      <c r="F88" s="230" t="s">
        <v>68</v>
      </c>
      <c r="G88" s="247">
        <v>120064</v>
      </c>
      <c r="H88" s="247">
        <v>120064</v>
      </c>
      <c r="I88" s="46"/>
      <c r="J88" s="247"/>
    </row>
    <row r="89" spans="1:10" s="43" customFormat="1" ht="79.5" customHeight="1">
      <c r="A89" s="322"/>
      <c r="B89" s="322"/>
      <c r="C89" s="322"/>
      <c r="D89" s="324"/>
      <c r="E89" s="229" t="s">
        <v>520</v>
      </c>
      <c r="F89" s="250" t="s">
        <v>68</v>
      </c>
      <c r="G89" s="247">
        <v>193830</v>
      </c>
      <c r="H89" s="247">
        <v>193830</v>
      </c>
      <c r="I89" s="46"/>
      <c r="J89" s="247"/>
    </row>
    <row r="90" spans="1:10" s="43" customFormat="1" ht="87" customHeight="1">
      <c r="A90" s="322"/>
      <c r="B90" s="322"/>
      <c r="C90" s="322"/>
      <c r="D90" s="324"/>
      <c r="E90" s="229" t="s">
        <v>521</v>
      </c>
      <c r="F90" s="250" t="s">
        <v>68</v>
      </c>
      <c r="G90" s="247">
        <v>16560</v>
      </c>
      <c r="H90" s="247">
        <v>16560</v>
      </c>
      <c r="I90" s="46"/>
      <c r="J90" s="247"/>
    </row>
    <row r="91" spans="1:10" s="43" customFormat="1" ht="75">
      <c r="A91" s="322"/>
      <c r="B91" s="322"/>
      <c r="C91" s="322"/>
      <c r="D91" s="324"/>
      <c r="E91" s="227" t="s">
        <v>516</v>
      </c>
      <c r="F91" s="248"/>
      <c r="G91" s="246">
        <f>SUM(G92:G119)</f>
        <v>-1141284</v>
      </c>
      <c r="H91" s="246">
        <f t="shared" ref="H91:J91" si="7">SUM(H92:H119)</f>
        <v>-1541284</v>
      </c>
      <c r="I91" s="246"/>
      <c r="J91" s="246">
        <f t="shared" si="7"/>
        <v>0</v>
      </c>
    </row>
    <row r="92" spans="1:10" s="43" customFormat="1" ht="27" customHeight="1">
      <c r="A92" s="322"/>
      <c r="B92" s="322"/>
      <c r="C92" s="322"/>
      <c r="D92" s="324"/>
      <c r="E92" s="44" t="s">
        <v>292</v>
      </c>
      <c r="F92" s="45" t="s">
        <v>68</v>
      </c>
      <c r="G92" s="97">
        <v>-33120</v>
      </c>
      <c r="H92" s="97">
        <v>-33120</v>
      </c>
      <c r="I92" s="46"/>
      <c r="J92" s="97">
        <v>-33120</v>
      </c>
    </row>
    <row r="93" spans="1:10" s="43" customFormat="1" ht="27" customHeight="1">
      <c r="A93" s="322"/>
      <c r="B93" s="322"/>
      <c r="C93" s="322"/>
      <c r="D93" s="324"/>
      <c r="E93" s="136" t="s">
        <v>419</v>
      </c>
      <c r="F93" s="45" t="s">
        <v>68</v>
      </c>
      <c r="G93" s="137">
        <v>-90000</v>
      </c>
      <c r="H93" s="137">
        <v>-90000</v>
      </c>
      <c r="I93" s="46"/>
      <c r="J93" s="137">
        <v>-90000</v>
      </c>
    </row>
    <row r="94" spans="1:10" s="43" customFormat="1" ht="27" customHeight="1">
      <c r="A94" s="322"/>
      <c r="B94" s="322"/>
      <c r="C94" s="322"/>
      <c r="D94" s="324"/>
      <c r="E94" s="44" t="s">
        <v>288</v>
      </c>
      <c r="F94" s="45" t="s">
        <v>68</v>
      </c>
      <c r="G94" s="97">
        <v>-13950</v>
      </c>
      <c r="H94" s="97">
        <v>-13950</v>
      </c>
      <c r="I94" s="46"/>
      <c r="J94" s="97">
        <v>-13950</v>
      </c>
    </row>
    <row r="95" spans="1:10" s="43" customFormat="1" ht="27" customHeight="1">
      <c r="A95" s="322"/>
      <c r="B95" s="322"/>
      <c r="C95" s="322"/>
      <c r="D95" s="324"/>
      <c r="E95" s="44" t="s">
        <v>291</v>
      </c>
      <c r="F95" s="45" t="s">
        <v>68</v>
      </c>
      <c r="G95" s="97">
        <v>-210</v>
      </c>
      <c r="H95" s="97">
        <v>-210</v>
      </c>
      <c r="I95" s="46"/>
      <c r="J95" s="97">
        <v>-210</v>
      </c>
    </row>
    <row r="96" spans="1:10" s="43" customFormat="1" ht="27" customHeight="1">
      <c r="A96" s="322"/>
      <c r="B96" s="322"/>
      <c r="C96" s="322"/>
      <c r="D96" s="324"/>
      <c r="E96" s="44" t="s">
        <v>285</v>
      </c>
      <c r="F96" s="45" t="s">
        <v>68</v>
      </c>
      <c r="G96" s="97">
        <v>-30</v>
      </c>
      <c r="H96" s="97">
        <v>-30</v>
      </c>
      <c r="I96" s="46"/>
      <c r="J96" s="97">
        <v>-30</v>
      </c>
    </row>
    <row r="97" spans="1:10" s="43" customFormat="1" ht="27" customHeight="1">
      <c r="A97" s="322"/>
      <c r="B97" s="322"/>
      <c r="C97" s="322"/>
      <c r="D97" s="324"/>
      <c r="E97" s="62" t="s">
        <v>111</v>
      </c>
      <c r="F97" s="45" t="s">
        <v>68</v>
      </c>
      <c r="G97" s="59">
        <v>-11370</v>
      </c>
      <c r="H97" s="59">
        <v>-11370</v>
      </c>
      <c r="I97" s="46"/>
      <c r="J97" s="59">
        <v>-11370</v>
      </c>
    </row>
    <row r="98" spans="1:10" s="43" customFormat="1" ht="27" customHeight="1">
      <c r="A98" s="322"/>
      <c r="B98" s="322"/>
      <c r="C98" s="322"/>
      <c r="D98" s="324"/>
      <c r="E98" s="44" t="s">
        <v>286</v>
      </c>
      <c r="F98" s="45" t="s">
        <v>68</v>
      </c>
      <c r="G98" s="97">
        <v>-1820</v>
      </c>
      <c r="H98" s="97">
        <v>-1820</v>
      </c>
      <c r="I98" s="46"/>
      <c r="J98" s="97">
        <v>-1820</v>
      </c>
    </row>
    <row r="99" spans="1:10" s="43" customFormat="1" ht="27" customHeight="1">
      <c r="A99" s="322"/>
      <c r="B99" s="322"/>
      <c r="C99" s="322"/>
      <c r="D99" s="324"/>
      <c r="E99" s="44" t="s">
        <v>287</v>
      </c>
      <c r="F99" s="45" t="s">
        <v>68</v>
      </c>
      <c r="G99" s="97">
        <v>-20</v>
      </c>
      <c r="H99" s="97">
        <v>-20</v>
      </c>
      <c r="I99" s="46"/>
      <c r="J99" s="97">
        <v>-20</v>
      </c>
    </row>
    <row r="100" spans="1:10" s="43" customFormat="1" ht="27" customHeight="1">
      <c r="A100" s="322"/>
      <c r="B100" s="322"/>
      <c r="C100" s="322"/>
      <c r="D100" s="324"/>
      <c r="E100" s="44" t="s">
        <v>290</v>
      </c>
      <c r="F100" s="45" t="s">
        <v>68</v>
      </c>
      <c r="G100" s="97">
        <v>-12040</v>
      </c>
      <c r="H100" s="97">
        <v>-12040</v>
      </c>
      <c r="I100" s="46"/>
      <c r="J100" s="97">
        <v>-12040</v>
      </c>
    </row>
    <row r="101" spans="1:10" s="43" customFormat="1" ht="27" customHeight="1">
      <c r="A101" s="322"/>
      <c r="B101" s="322"/>
      <c r="C101" s="322"/>
      <c r="D101" s="324"/>
      <c r="E101" s="44" t="s">
        <v>80</v>
      </c>
      <c r="F101" s="45" t="s">
        <v>68</v>
      </c>
      <c r="G101" s="97">
        <v>-7750</v>
      </c>
      <c r="H101" s="97">
        <v>-7750</v>
      </c>
      <c r="I101" s="46"/>
      <c r="J101" s="97">
        <v>-7750</v>
      </c>
    </row>
    <row r="102" spans="1:10" s="43" customFormat="1" ht="37.5">
      <c r="A102" s="322"/>
      <c r="B102" s="322"/>
      <c r="C102" s="322"/>
      <c r="D102" s="324"/>
      <c r="E102" s="62" t="s">
        <v>108</v>
      </c>
      <c r="F102" s="45" t="s">
        <v>68</v>
      </c>
      <c r="G102" s="59">
        <v>-15520</v>
      </c>
      <c r="H102" s="59">
        <v>-15520</v>
      </c>
      <c r="I102" s="46"/>
      <c r="J102" s="59">
        <v>-15520</v>
      </c>
    </row>
    <row r="103" spans="1:10" s="43" customFormat="1" ht="25.5" customHeight="1">
      <c r="A103" s="322"/>
      <c r="B103" s="322"/>
      <c r="C103" s="322"/>
      <c r="D103" s="324"/>
      <c r="E103" s="136" t="s">
        <v>420</v>
      </c>
      <c r="F103" s="45" t="s">
        <v>68</v>
      </c>
      <c r="G103" s="137">
        <v>-23850</v>
      </c>
      <c r="H103" s="137">
        <v>-23850</v>
      </c>
      <c r="I103" s="46"/>
      <c r="J103" s="137">
        <v>-23850</v>
      </c>
    </row>
    <row r="104" spans="1:10" s="43" customFormat="1" ht="25.5" customHeight="1">
      <c r="A104" s="322"/>
      <c r="B104" s="322"/>
      <c r="C104" s="322"/>
      <c r="D104" s="324"/>
      <c r="E104" s="136" t="s">
        <v>427</v>
      </c>
      <c r="F104" s="45" t="s">
        <v>68</v>
      </c>
      <c r="G104" s="137">
        <v>-100000</v>
      </c>
      <c r="H104" s="137">
        <v>-100000</v>
      </c>
      <c r="I104" s="46"/>
      <c r="J104" s="137">
        <v>-100000</v>
      </c>
    </row>
    <row r="105" spans="1:10" s="43" customFormat="1" ht="25.5" customHeight="1">
      <c r="A105" s="322"/>
      <c r="B105" s="322"/>
      <c r="C105" s="322"/>
      <c r="D105" s="324"/>
      <c r="E105" s="62" t="s">
        <v>109</v>
      </c>
      <c r="F105" s="45" t="s">
        <v>68</v>
      </c>
      <c r="G105" s="59">
        <v>-2980</v>
      </c>
      <c r="H105" s="59">
        <v>-2980</v>
      </c>
      <c r="I105" s="46"/>
      <c r="J105" s="59">
        <v>-2980</v>
      </c>
    </row>
    <row r="106" spans="1:10" s="43" customFormat="1" ht="25.5" customHeight="1">
      <c r="A106" s="322"/>
      <c r="B106" s="322"/>
      <c r="C106" s="322"/>
      <c r="D106" s="324"/>
      <c r="E106" s="62" t="s">
        <v>110</v>
      </c>
      <c r="F106" s="45" t="s">
        <v>68</v>
      </c>
      <c r="G106" s="59">
        <v>-96</v>
      </c>
      <c r="H106" s="59">
        <v>-96</v>
      </c>
      <c r="I106" s="46"/>
      <c r="J106" s="59">
        <v>-96</v>
      </c>
    </row>
    <row r="107" spans="1:10" s="43" customFormat="1" ht="25.5" customHeight="1">
      <c r="A107" s="322"/>
      <c r="B107" s="322"/>
      <c r="C107" s="322"/>
      <c r="D107" s="324"/>
      <c r="E107" s="136" t="s">
        <v>426</v>
      </c>
      <c r="F107" s="45" t="s">
        <v>68</v>
      </c>
      <c r="G107" s="137">
        <v>-10640</v>
      </c>
      <c r="H107" s="137">
        <v>-10640</v>
      </c>
      <c r="I107" s="46"/>
      <c r="J107" s="137">
        <v>-10640</v>
      </c>
    </row>
    <row r="108" spans="1:10" s="43" customFormat="1" ht="25.5" customHeight="1">
      <c r="A108" s="322"/>
      <c r="B108" s="322"/>
      <c r="C108" s="322"/>
      <c r="D108" s="324"/>
      <c r="E108" s="136" t="s">
        <v>428</v>
      </c>
      <c r="F108" s="45" t="s">
        <v>68</v>
      </c>
      <c r="G108" s="137">
        <f>200000+119000</f>
        <v>319000</v>
      </c>
      <c r="H108" s="137">
        <v>119000</v>
      </c>
      <c r="I108" s="46">
        <v>1</v>
      </c>
      <c r="J108" s="137">
        <v>119000</v>
      </c>
    </row>
    <row r="109" spans="1:10" s="43" customFormat="1" ht="25.5" customHeight="1">
      <c r="A109" s="322"/>
      <c r="B109" s="322"/>
      <c r="C109" s="322"/>
      <c r="D109" s="324"/>
      <c r="E109" s="136" t="s">
        <v>425</v>
      </c>
      <c r="F109" s="45" t="s">
        <v>68</v>
      </c>
      <c r="G109" s="137">
        <f>200000+80000</f>
        <v>280000</v>
      </c>
      <c r="H109" s="137">
        <v>80000</v>
      </c>
      <c r="I109" s="46">
        <v>1</v>
      </c>
      <c r="J109" s="137">
        <v>80000</v>
      </c>
    </row>
    <row r="110" spans="1:10" s="43" customFormat="1" ht="23.25" customHeight="1">
      <c r="A110" s="322"/>
      <c r="B110" s="322"/>
      <c r="C110" s="322"/>
      <c r="D110" s="324"/>
      <c r="E110" s="62" t="s">
        <v>508</v>
      </c>
      <c r="F110" s="45" t="s">
        <v>68</v>
      </c>
      <c r="G110" s="59">
        <v>124396</v>
      </c>
      <c r="H110" s="59">
        <v>124396</v>
      </c>
      <c r="I110" s="46">
        <v>1</v>
      </c>
      <c r="J110" s="59">
        <v>124396</v>
      </c>
    </row>
    <row r="111" spans="1:10" s="43" customFormat="1" ht="66" customHeight="1">
      <c r="A111" s="322"/>
      <c r="B111" s="322"/>
      <c r="C111" s="322"/>
      <c r="D111" s="324"/>
      <c r="E111" s="202" t="s">
        <v>384</v>
      </c>
      <c r="F111" s="123" t="s">
        <v>68</v>
      </c>
      <c r="G111" s="59">
        <v>-72000</v>
      </c>
      <c r="H111" s="59">
        <v>-72000</v>
      </c>
      <c r="I111" s="46"/>
      <c r="J111" s="59"/>
    </row>
    <row r="112" spans="1:10" s="43" customFormat="1" ht="58.5">
      <c r="A112" s="322"/>
      <c r="B112" s="322"/>
      <c r="C112" s="322"/>
      <c r="D112" s="324"/>
      <c r="E112" s="202" t="s">
        <v>382</v>
      </c>
      <c r="F112" s="123" t="s">
        <v>68</v>
      </c>
      <c r="G112" s="59">
        <v>-117530</v>
      </c>
      <c r="H112" s="59">
        <v>-117530</v>
      </c>
      <c r="I112" s="46"/>
      <c r="J112" s="59"/>
    </row>
    <row r="113" spans="1:13" s="43" customFormat="1" ht="78">
      <c r="A113" s="322"/>
      <c r="B113" s="322"/>
      <c r="C113" s="322"/>
      <c r="D113" s="324"/>
      <c r="E113" s="202" t="s">
        <v>383</v>
      </c>
      <c r="F113" s="123" t="s">
        <v>68</v>
      </c>
      <c r="G113" s="59">
        <v>-222504</v>
      </c>
      <c r="H113" s="59">
        <v>-222504</v>
      </c>
      <c r="I113" s="46"/>
      <c r="J113" s="59"/>
    </row>
    <row r="114" spans="1:13" s="43" customFormat="1" ht="78">
      <c r="A114" s="322"/>
      <c r="B114" s="322"/>
      <c r="C114" s="322"/>
      <c r="D114" s="324"/>
      <c r="E114" s="44" t="s">
        <v>353</v>
      </c>
      <c r="F114" s="45" t="s">
        <v>68</v>
      </c>
      <c r="G114" s="59">
        <v>-193830</v>
      </c>
      <c r="H114" s="59">
        <v>-193830</v>
      </c>
      <c r="I114" s="46"/>
      <c r="J114" s="59"/>
    </row>
    <row r="115" spans="1:13" s="43" customFormat="1" ht="58.5">
      <c r="A115" s="322"/>
      <c r="B115" s="322"/>
      <c r="C115" s="322"/>
      <c r="D115" s="324"/>
      <c r="E115" s="202" t="s">
        <v>379</v>
      </c>
      <c r="F115" s="123" t="s">
        <v>68</v>
      </c>
      <c r="G115" s="59">
        <v>-265930</v>
      </c>
      <c r="H115" s="59">
        <v>-265930</v>
      </c>
      <c r="I115" s="46"/>
      <c r="J115" s="59"/>
    </row>
    <row r="116" spans="1:13" s="43" customFormat="1" ht="58.5">
      <c r="A116" s="322"/>
      <c r="B116" s="322"/>
      <c r="C116" s="322"/>
      <c r="D116" s="324"/>
      <c r="E116" s="202" t="s">
        <v>381</v>
      </c>
      <c r="F116" s="123" t="s">
        <v>68</v>
      </c>
      <c r="G116" s="59">
        <v>-265930</v>
      </c>
      <c r="H116" s="59">
        <v>-265930</v>
      </c>
      <c r="I116" s="46"/>
      <c r="J116" s="59"/>
    </row>
    <row r="117" spans="1:13" s="43" customFormat="1" ht="78">
      <c r="A117" s="322"/>
      <c r="B117" s="322"/>
      <c r="C117" s="322"/>
      <c r="D117" s="324"/>
      <c r="E117" s="44" t="s">
        <v>354</v>
      </c>
      <c r="F117" s="45" t="s">
        <v>68</v>
      </c>
      <c r="G117" s="59">
        <v>-16560</v>
      </c>
      <c r="H117" s="59">
        <v>-16560</v>
      </c>
      <c r="I117" s="46"/>
      <c r="J117" s="59"/>
    </row>
    <row r="118" spans="1:13" s="43" customFormat="1" ht="58.5">
      <c r="A118" s="322"/>
      <c r="B118" s="322"/>
      <c r="C118" s="322"/>
      <c r="D118" s="324"/>
      <c r="E118" s="202" t="s">
        <v>380</v>
      </c>
      <c r="F118" s="123" t="s">
        <v>68</v>
      </c>
      <c r="G118" s="59">
        <v>-250000</v>
      </c>
      <c r="H118" s="59">
        <v>-250000</v>
      </c>
      <c r="I118" s="46"/>
      <c r="J118" s="59"/>
    </row>
    <row r="119" spans="1:13" s="43" customFormat="1" ht="77.25">
      <c r="A119" s="322"/>
      <c r="B119" s="322"/>
      <c r="C119" s="322"/>
      <c r="D119" s="324"/>
      <c r="E119" s="202" t="s">
        <v>386</v>
      </c>
      <c r="F119" s="123" t="s">
        <v>68</v>
      </c>
      <c r="G119" s="59">
        <v>-137000</v>
      </c>
      <c r="H119" s="59">
        <v>-137000</v>
      </c>
      <c r="I119" s="46"/>
      <c r="J119" s="59"/>
    </row>
    <row r="120" spans="1:13" s="10" customFormat="1" ht="41.25" customHeight="1">
      <c r="A120" s="5" t="s">
        <v>4</v>
      </c>
      <c r="B120" s="5"/>
      <c r="C120" s="5"/>
      <c r="D120" s="268" t="s">
        <v>9</v>
      </c>
      <c r="E120" s="269"/>
      <c r="F120" s="219"/>
      <c r="G120" s="54">
        <f>G121</f>
        <v>12495078</v>
      </c>
      <c r="H120" s="54">
        <f>H121</f>
        <v>-3468043.9000000004</v>
      </c>
      <c r="I120" s="31"/>
      <c r="J120" s="54">
        <f>J121</f>
        <v>-1798043.9</v>
      </c>
    </row>
    <row r="121" spans="1:13" s="10" customFormat="1" ht="41.25" customHeight="1">
      <c r="A121" s="5" t="s">
        <v>5</v>
      </c>
      <c r="B121" s="5"/>
      <c r="C121" s="5"/>
      <c r="D121" s="268" t="s">
        <v>9</v>
      </c>
      <c r="E121" s="269"/>
      <c r="F121" s="219"/>
      <c r="G121" s="54">
        <f>G122+G123</f>
        <v>12495078</v>
      </c>
      <c r="H121" s="54">
        <f t="shared" ref="H121:J121" si="8">H122+H123</f>
        <v>-3468043.9000000004</v>
      </c>
      <c r="I121" s="31"/>
      <c r="J121" s="54">
        <f t="shared" si="8"/>
        <v>-1798043.9</v>
      </c>
    </row>
    <row r="122" spans="1:13" ht="79.5" customHeight="1">
      <c r="A122" s="6" t="s">
        <v>293</v>
      </c>
      <c r="B122" s="6" t="s">
        <v>161</v>
      </c>
      <c r="C122" s="6" t="s">
        <v>141</v>
      </c>
      <c r="D122" s="7" t="s">
        <v>162</v>
      </c>
      <c r="E122" s="22" t="s">
        <v>3</v>
      </c>
      <c r="F122" s="22" t="s">
        <v>68</v>
      </c>
      <c r="G122" s="53">
        <v>-22</v>
      </c>
      <c r="H122" s="53">
        <v>-22</v>
      </c>
      <c r="I122" s="34"/>
      <c r="J122" s="53">
        <v>-22</v>
      </c>
      <c r="L122" s="1"/>
    </row>
    <row r="123" spans="1:13" ht="18.75" customHeight="1">
      <c r="A123" s="271" t="s">
        <v>54</v>
      </c>
      <c r="B123" s="271" t="s">
        <v>52</v>
      </c>
      <c r="C123" s="271" t="s">
        <v>10</v>
      </c>
      <c r="D123" s="283" t="s">
        <v>35</v>
      </c>
      <c r="E123" s="28" t="s">
        <v>55</v>
      </c>
      <c r="F123" s="28"/>
      <c r="G123" s="58">
        <f>SUM(G124:G129)</f>
        <v>12495100</v>
      </c>
      <c r="H123" s="58">
        <f t="shared" ref="H123:J123" si="9">SUM(H124:H129)</f>
        <v>-3468021.9000000004</v>
      </c>
      <c r="I123" s="58"/>
      <c r="J123" s="58">
        <f t="shared" si="9"/>
        <v>-1798021.9</v>
      </c>
      <c r="K123" s="142"/>
      <c r="L123" s="142"/>
      <c r="M123" s="142"/>
    </row>
    <row r="124" spans="1:13" ht="96.75" customHeight="1">
      <c r="A124" s="272"/>
      <c r="B124" s="272"/>
      <c r="C124" s="272"/>
      <c r="D124" s="284"/>
      <c r="E124" s="226" t="s">
        <v>306</v>
      </c>
      <c r="F124" s="11" t="s">
        <v>307</v>
      </c>
      <c r="G124" s="56">
        <v>-61000000</v>
      </c>
      <c r="H124" s="60">
        <f>-2571400</f>
        <v>-2571400</v>
      </c>
      <c r="I124" s="103"/>
      <c r="J124" s="60">
        <f>-2111400</f>
        <v>-2111400</v>
      </c>
      <c r="L124" s="1"/>
    </row>
    <row r="125" spans="1:13" ht="75">
      <c r="A125" s="272"/>
      <c r="B125" s="272"/>
      <c r="C125" s="272"/>
      <c r="D125" s="284"/>
      <c r="E125" s="262" t="s">
        <v>486</v>
      </c>
      <c r="F125" s="11" t="s">
        <v>307</v>
      </c>
      <c r="G125" s="56">
        <v>61000000</v>
      </c>
      <c r="H125" s="60">
        <f>2671400-100000-2258021.9</f>
        <v>313378.10000000009</v>
      </c>
      <c r="I125" s="103">
        <v>5.0000000000000001E-3</v>
      </c>
      <c r="J125" s="60">
        <f>2111400-1798021.9</f>
        <v>313378.10000000009</v>
      </c>
      <c r="L125" s="1"/>
    </row>
    <row r="126" spans="1:13" ht="56.25">
      <c r="A126" s="272"/>
      <c r="B126" s="272"/>
      <c r="C126" s="272"/>
      <c r="D126" s="284"/>
      <c r="E126" s="262" t="s">
        <v>300</v>
      </c>
      <c r="F126" s="256" t="s">
        <v>301</v>
      </c>
      <c r="G126" s="102">
        <f>8000000+5005100</f>
        <v>13005100</v>
      </c>
      <c r="H126" s="60">
        <v>-700000</v>
      </c>
      <c r="I126" s="103">
        <v>1</v>
      </c>
      <c r="J126" s="60"/>
      <c r="L126" s="1"/>
    </row>
    <row r="127" spans="1:13" ht="124.5" customHeight="1">
      <c r="A127" s="272"/>
      <c r="B127" s="272"/>
      <c r="C127" s="272"/>
      <c r="D127" s="284"/>
      <c r="E127" s="262" t="s">
        <v>352</v>
      </c>
      <c r="F127" s="259"/>
      <c r="G127" s="102">
        <v>-2000000</v>
      </c>
      <c r="H127" s="60">
        <v>-2000000</v>
      </c>
      <c r="I127" s="103"/>
      <c r="J127" s="60"/>
      <c r="L127" s="1"/>
    </row>
    <row r="128" spans="1:13" ht="96.75" customHeight="1">
      <c r="A128" s="272"/>
      <c r="B128" s="272"/>
      <c r="C128" s="272"/>
      <c r="D128" s="284"/>
      <c r="E128" s="262" t="s">
        <v>535</v>
      </c>
      <c r="F128" s="259" t="s">
        <v>68</v>
      </c>
      <c r="G128" s="102">
        <v>950000</v>
      </c>
      <c r="H128" s="60">
        <v>950000</v>
      </c>
      <c r="I128" s="103"/>
      <c r="J128" s="60"/>
      <c r="L128" s="1"/>
    </row>
    <row r="129" spans="1:14" ht="60.75" customHeight="1">
      <c r="A129" s="273"/>
      <c r="B129" s="273"/>
      <c r="C129" s="273"/>
      <c r="D129" s="285"/>
      <c r="E129" s="262" t="s">
        <v>536</v>
      </c>
      <c r="F129" s="259" t="s">
        <v>68</v>
      </c>
      <c r="G129" s="102">
        <v>540000</v>
      </c>
      <c r="H129" s="60">
        <v>540000</v>
      </c>
      <c r="I129" s="103"/>
      <c r="J129" s="60"/>
      <c r="L129" s="1"/>
    </row>
    <row r="130" spans="1:14" s="10" customFormat="1" ht="34.5" customHeight="1">
      <c r="A130" s="5" t="s">
        <v>317</v>
      </c>
      <c r="B130" s="9"/>
      <c r="C130" s="9"/>
      <c r="D130" s="268" t="s">
        <v>318</v>
      </c>
      <c r="E130" s="269"/>
      <c r="F130" s="219"/>
      <c r="G130" s="54">
        <f>G131</f>
        <v>144618</v>
      </c>
      <c r="H130" s="54">
        <f>H131</f>
        <v>144618</v>
      </c>
      <c r="I130" s="31"/>
      <c r="J130" s="54">
        <f>J131</f>
        <v>144618</v>
      </c>
    </row>
    <row r="131" spans="1:14" s="10" customFormat="1" ht="36.75" customHeight="1">
      <c r="A131" s="5" t="s">
        <v>319</v>
      </c>
      <c r="B131" s="9"/>
      <c r="C131" s="9"/>
      <c r="D131" s="268" t="s">
        <v>318</v>
      </c>
      <c r="E131" s="269"/>
      <c r="F131" s="219"/>
      <c r="G131" s="54">
        <f>G132+G133</f>
        <v>144618</v>
      </c>
      <c r="H131" s="54">
        <f t="shared" ref="H131:J131" si="10">H132+H133</f>
        <v>144618</v>
      </c>
      <c r="I131" s="31"/>
      <c r="J131" s="54">
        <f t="shared" si="10"/>
        <v>144618</v>
      </c>
    </row>
    <row r="132" spans="1:14" ht="93.75">
      <c r="A132" s="6" t="s">
        <v>320</v>
      </c>
      <c r="B132" s="6" t="s">
        <v>161</v>
      </c>
      <c r="C132" s="6" t="s">
        <v>141</v>
      </c>
      <c r="D132" s="7" t="s">
        <v>162</v>
      </c>
      <c r="E132" s="22" t="s">
        <v>3</v>
      </c>
      <c r="F132" s="22" t="s">
        <v>68</v>
      </c>
      <c r="G132" s="53">
        <v>-5382</v>
      </c>
      <c r="H132" s="53">
        <v>-5382</v>
      </c>
      <c r="I132" s="34"/>
      <c r="J132" s="53">
        <v>-5382</v>
      </c>
      <c r="L132" s="1"/>
    </row>
    <row r="133" spans="1:14" ht="37.5" customHeight="1">
      <c r="A133" s="6" t="s">
        <v>334</v>
      </c>
      <c r="B133" s="25" t="s">
        <v>144</v>
      </c>
      <c r="C133" s="25" t="s">
        <v>10</v>
      </c>
      <c r="D133" s="11" t="s">
        <v>145</v>
      </c>
      <c r="E133" s="11" t="s">
        <v>335</v>
      </c>
      <c r="F133" s="83" t="s">
        <v>68</v>
      </c>
      <c r="G133" s="56">
        <v>150000</v>
      </c>
      <c r="H133" s="60">
        <v>150000</v>
      </c>
      <c r="I133" s="103">
        <v>1</v>
      </c>
      <c r="J133" s="60">
        <v>150000</v>
      </c>
      <c r="L133" s="1"/>
    </row>
    <row r="134" spans="1:14" s="10" customFormat="1">
      <c r="A134" s="5" t="s">
        <v>47</v>
      </c>
      <c r="B134" s="9"/>
      <c r="C134" s="9"/>
      <c r="D134" s="268" t="s">
        <v>48</v>
      </c>
      <c r="E134" s="269"/>
      <c r="F134" s="219"/>
      <c r="G134" s="54">
        <f>G135</f>
        <v>-1166537</v>
      </c>
      <c r="H134" s="54">
        <f>H135</f>
        <v>510818</v>
      </c>
      <c r="I134" s="31"/>
      <c r="J134" s="54">
        <f>J135</f>
        <v>532098</v>
      </c>
      <c r="L134" s="179"/>
      <c r="M134" s="179"/>
      <c r="N134" s="179"/>
    </row>
    <row r="135" spans="1:14" s="10" customFormat="1">
      <c r="A135" s="5" t="s">
        <v>51</v>
      </c>
      <c r="B135" s="9"/>
      <c r="C135" s="9"/>
      <c r="D135" s="268" t="s">
        <v>48</v>
      </c>
      <c r="E135" s="269"/>
      <c r="F135" s="219"/>
      <c r="G135" s="54">
        <f>G136+G137+G140+G142</f>
        <v>-1166537</v>
      </c>
      <c r="H135" s="54">
        <f t="shared" ref="H135:J135" si="11">H136+H137+H140+H142</f>
        <v>510818</v>
      </c>
      <c r="I135" s="31"/>
      <c r="J135" s="54">
        <f t="shared" si="11"/>
        <v>532098</v>
      </c>
      <c r="L135" s="179"/>
      <c r="M135" s="179"/>
      <c r="N135" s="179"/>
    </row>
    <row r="136" spans="1:14" ht="93.75">
      <c r="A136" s="6" t="s">
        <v>336</v>
      </c>
      <c r="B136" s="25" t="s">
        <v>161</v>
      </c>
      <c r="C136" s="25" t="s">
        <v>141</v>
      </c>
      <c r="D136" s="7" t="s">
        <v>162</v>
      </c>
      <c r="E136" s="22" t="s">
        <v>3</v>
      </c>
      <c r="F136" s="22" t="s">
        <v>68</v>
      </c>
      <c r="G136" s="56">
        <v>-19002</v>
      </c>
      <c r="H136" s="60">
        <v>-19002</v>
      </c>
      <c r="I136" s="103"/>
      <c r="J136" s="60">
        <v>-19002</v>
      </c>
      <c r="L136" s="1"/>
    </row>
    <row r="137" spans="1:14" ht="37.5">
      <c r="A137" s="6" t="s">
        <v>337</v>
      </c>
      <c r="B137" s="25" t="s">
        <v>49</v>
      </c>
      <c r="C137" s="25" t="s">
        <v>338</v>
      </c>
      <c r="D137" s="24" t="s">
        <v>339</v>
      </c>
      <c r="E137" s="22" t="s">
        <v>3</v>
      </c>
      <c r="F137" s="22" t="s">
        <v>68</v>
      </c>
      <c r="G137" s="56">
        <f>-1698635-155900</f>
        <v>-1854535</v>
      </c>
      <c r="H137" s="60">
        <f>-1698635-155900-572645+2250000</f>
        <v>-177180</v>
      </c>
      <c r="I137" s="103"/>
      <c r="J137" s="60">
        <v>-155900</v>
      </c>
      <c r="L137" s="1"/>
    </row>
    <row r="138" spans="1:14">
      <c r="A138" s="6"/>
      <c r="B138" s="25"/>
      <c r="C138" s="25"/>
      <c r="D138" s="24"/>
      <c r="E138" s="22" t="s">
        <v>340</v>
      </c>
      <c r="F138" s="22"/>
      <c r="G138" s="56"/>
      <c r="H138" s="60"/>
      <c r="I138" s="103"/>
      <c r="J138" s="60"/>
      <c r="L138" s="1"/>
    </row>
    <row r="139" spans="1:14" s="43" customFormat="1" ht="56.25">
      <c r="A139" s="105"/>
      <c r="B139" s="106"/>
      <c r="C139" s="106"/>
      <c r="D139" s="41"/>
      <c r="E139" s="42" t="s">
        <v>341</v>
      </c>
      <c r="F139" s="42" t="s">
        <v>68</v>
      </c>
      <c r="G139" s="180">
        <f>-1698635-572645+2250000</f>
        <v>-21280</v>
      </c>
      <c r="H139" s="137">
        <f>-1698635-572645+2250000</f>
        <v>-21280</v>
      </c>
      <c r="I139" s="108"/>
      <c r="J139" s="137"/>
    </row>
    <row r="140" spans="1:14" ht="19.5" customHeight="1">
      <c r="A140" s="316" t="s">
        <v>342</v>
      </c>
      <c r="B140" s="318" t="s">
        <v>343</v>
      </c>
      <c r="C140" s="318" t="s">
        <v>49</v>
      </c>
      <c r="D140" s="320" t="s">
        <v>344</v>
      </c>
      <c r="E140" s="22" t="s">
        <v>487</v>
      </c>
      <c r="F140" s="22"/>
      <c r="G140" s="56">
        <f>G141</f>
        <v>300000</v>
      </c>
      <c r="H140" s="56">
        <f t="shared" ref="H140:J140" si="12">H141</f>
        <v>300000</v>
      </c>
      <c r="I140" s="32"/>
      <c r="J140" s="56">
        <f t="shared" si="12"/>
        <v>300000</v>
      </c>
      <c r="L140" s="1"/>
    </row>
    <row r="141" spans="1:14" ht="150">
      <c r="A141" s="317"/>
      <c r="B141" s="319"/>
      <c r="C141" s="319"/>
      <c r="D141" s="321"/>
      <c r="E141" s="42" t="s">
        <v>488</v>
      </c>
      <c r="F141" s="42" t="s">
        <v>68</v>
      </c>
      <c r="G141" s="180">
        <v>300000</v>
      </c>
      <c r="H141" s="137">
        <v>300000</v>
      </c>
      <c r="I141" s="108"/>
      <c r="J141" s="137">
        <v>300000</v>
      </c>
      <c r="L141" s="1"/>
    </row>
    <row r="142" spans="1:14" s="43" customFormat="1" ht="18.75" customHeight="1">
      <c r="A142" s="322" t="s">
        <v>112</v>
      </c>
      <c r="B142" s="323" t="s">
        <v>113</v>
      </c>
      <c r="C142" s="323" t="s">
        <v>49</v>
      </c>
      <c r="D142" s="312" t="s">
        <v>114</v>
      </c>
      <c r="E142" s="83" t="s">
        <v>55</v>
      </c>
      <c r="F142" s="42"/>
      <c r="G142" s="180">
        <f>G143+G144+G145</f>
        <v>407000</v>
      </c>
      <c r="H142" s="180">
        <f t="shared" ref="H142:J142" si="13">H143+H144+H145</f>
        <v>407000</v>
      </c>
      <c r="I142" s="180"/>
      <c r="J142" s="180">
        <f t="shared" si="13"/>
        <v>407000</v>
      </c>
    </row>
    <row r="143" spans="1:14" s="43" customFormat="1" ht="112.5">
      <c r="A143" s="322"/>
      <c r="B143" s="323"/>
      <c r="C143" s="323"/>
      <c r="D143" s="312"/>
      <c r="E143" s="243" t="s">
        <v>119</v>
      </c>
      <c r="F143" s="42" t="s">
        <v>68</v>
      </c>
      <c r="G143" s="68">
        <v>-7000</v>
      </c>
      <c r="H143" s="68">
        <v>-7000</v>
      </c>
      <c r="I143" s="108"/>
      <c r="J143" s="68">
        <v>-7000</v>
      </c>
    </row>
    <row r="144" spans="1:14" s="43" customFormat="1" ht="112.5">
      <c r="A144" s="322"/>
      <c r="B144" s="323"/>
      <c r="C144" s="323"/>
      <c r="D144" s="312"/>
      <c r="E144" s="243" t="s">
        <v>118</v>
      </c>
      <c r="F144" s="42" t="s">
        <v>68</v>
      </c>
      <c r="G144" s="68">
        <v>280000</v>
      </c>
      <c r="H144" s="68">
        <v>280000</v>
      </c>
      <c r="I144" s="108"/>
      <c r="J144" s="68">
        <v>280000</v>
      </c>
    </row>
    <row r="145" spans="1:12" s="43" customFormat="1" ht="56.25">
      <c r="A145" s="322"/>
      <c r="B145" s="323"/>
      <c r="C145" s="323"/>
      <c r="D145" s="312"/>
      <c r="E145" s="243" t="s">
        <v>117</v>
      </c>
      <c r="F145" s="42" t="s">
        <v>68</v>
      </c>
      <c r="G145" s="68">
        <v>134000</v>
      </c>
      <c r="H145" s="68">
        <v>134000</v>
      </c>
      <c r="I145" s="108"/>
      <c r="J145" s="68">
        <v>134000</v>
      </c>
    </row>
    <row r="146" spans="1:12" s="111" customFormat="1" ht="54" customHeight="1">
      <c r="A146" s="313" t="s">
        <v>346</v>
      </c>
      <c r="B146" s="314"/>
      <c r="C146" s="314"/>
      <c r="D146" s="314"/>
      <c r="E146" s="315"/>
      <c r="F146" s="27"/>
      <c r="G146" s="54">
        <f>G147+G149</f>
        <v>-1073700</v>
      </c>
      <c r="H146" s="54">
        <f t="shared" ref="H146:J146" si="14">H147+H149</f>
        <v>1884321.9</v>
      </c>
      <c r="I146" s="54"/>
      <c r="J146" s="54">
        <f t="shared" si="14"/>
        <v>724321.89999999991</v>
      </c>
    </row>
    <row r="147" spans="1:12" s="43" customFormat="1">
      <c r="A147" s="5" t="s">
        <v>169</v>
      </c>
      <c r="B147" s="5"/>
      <c r="C147" s="5"/>
      <c r="D147" s="268" t="s">
        <v>168</v>
      </c>
      <c r="E147" s="269"/>
      <c r="F147" s="42"/>
      <c r="G147" s="54">
        <f>G148</f>
        <v>-1073700</v>
      </c>
      <c r="H147" s="54">
        <f t="shared" ref="H147:J147" si="15">H148</f>
        <v>-1073700</v>
      </c>
      <c r="I147" s="31"/>
      <c r="J147" s="54">
        <f t="shared" si="15"/>
        <v>-1073700</v>
      </c>
    </row>
    <row r="148" spans="1:12" s="43" customFormat="1" ht="56.25">
      <c r="A148" s="6" t="s">
        <v>181</v>
      </c>
      <c r="B148" s="6" t="s">
        <v>52</v>
      </c>
      <c r="C148" s="6" t="s">
        <v>10</v>
      </c>
      <c r="D148" s="7" t="s">
        <v>35</v>
      </c>
      <c r="E148" s="83" t="s">
        <v>182</v>
      </c>
      <c r="F148" s="83"/>
      <c r="G148" s="53">
        <v>-1073700</v>
      </c>
      <c r="H148" s="56">
        <v>-1073700</v>
      </c>
      <c r="I148" s="32"/>
      <c r="J148" s="53">
        <v>-1073700</v>
      </c>
    </row>
    <row r="149" spans="1:12" s="43" customFormat="1" ht="41.25" customHeight="1">
      <c r="A149" s="5" t="s">
        <v>5</v>
      </c>
      <c r="B149" s="5"/>
      <c r="C149" s="5"/>
      <c r="D149" s="268" t="s">
        <v>9</v>
      </c>
      <c r="E149" s="269"/>
      <c r="F149" s="83"/>
      <c r="G149" s="55">
        <f>G150</f>
        <v>0</v>
      </c>
      <c r="H149" s="55">
        <f t="shared" ref="H149:J149" si="16">H150</f>
        <v>2958021.9</v>
      </c>
      <c r="I149" s="55"/>
      <c r="J149" s="55">
        <f t="shared" si="16"/>
        <v>1798021.9</v>
      </c>
    </row>
    <row r="150" spans="1:12" s="43" customFormat="1" ht="56.25">
      <c r="A150" s="6" t="s">
        <v>54</v>
      </c>
      <c r="B150" s="6" t="s">
        <v>52</v>
      </c>
      <c r="C150" s="6" t="s">
        <v>10</v>
      </c>
      <c r="D150" s="7" t="s">
        <v>35</v>
      </c>
      <c r="E150" s="83" t="s">
        <v>531</v>
      </c>
      <c r="F150" s="83"/>
      <c r="G150" s="53"/>
      <c r="H150" s="56">
        <v>2958021.9</v>
      </c>
      <c r="I150" s="32"/>
      <c r="J150" s="53">
        <v>1798021.9</v>
      </c>
    </row>
    <row r="151" spans="1:12">
      <c r="A151" s="19"/>
      <c r="B151" s="6"/>
      <c r="C151" s="6"/>
      <c r="D151" s="13"/>
      <c r="E151" s="18" t="s">
        <v>0</v>
      </c>
      <c r="F151" s="18"/>
      <c r="G151" s="61">
        <f>G11+G19+G25+G30+G120+G130+G134+G146</f>
        <v>14431546</v>
      </c>
      <c r="H151" s="61">
        <f>H11+H19+H25+H30+H120+H130+H134+H146</f>
        <v>2703800.9999999995</v>
      </c>
      <c r="I151" s="61"/>
      <c r="J151" s="61">
        <f>J11+J19+J25+J30+J120+J130+J134+J146</f>
        <v>453801</v>
      </c>
      <c r="L151" s="1"/>
    </row>
    <row r="152" spans="1:12">
      <c r="A152" s="231"/>
      <c r="B152" s="232"/>
      <c r="C152" s="232"/>
      <c r="D152" s="233"/>
      <c r="E152" s="234"/>
      <c r="F152" s="234"/>
      <c r="G152" s="235"/>
      <c r="H152" s="235"/>
      <c r="I152" s="235"/>
      <c r="J152" s="235"/>
      <c r="L152" s="1"/>
    </row>
    <row r="153" spans="1:12">
      <c r="A153" s="231"/>
      <c r="B153" s="232"/>
      <c r="C153" s="232"/>
      <c r="D153" s="265" t="s">
        <v>538</v>
      </c>
      <c r="E153" s="236"/>
      <c r="F153" s="236"/>
      <c r="G153" s="237"/>
      <c r="H153" s="265" t="s">
        <v>539</v>
      </c>
      <c r="I153" s="237"/>
      <c r="J153" s="237"/>
      <c r="L153" s="1"/>
    </row>
    <row r="154" spans="1:12">
      <c r="B154" s="1" t="s">
        <v>348</v>
      </c>
      <c r="D154" s="270"/>
      <c r="E154" s="270"/>
      <c r="F154" s="220"/>
      <c r="G154" s="1"/>
      <c r="H154" s="36"/>
      <c r="L154" s="1"/>
    </row>
    <row r="155" spans="1:12">
      <c r="A155" s="36"/>
      <c r="G155" s="1"/>
    </row>
    <row r="156" spans="1:12">
      <c r="E156" s="203"/>
      <c r="F156" s="203"/>
      <c r="G156" s="205"/>
      <c r="H156" s="205"/>
      <c r="I156" s="205"/>
      <c r="J156" s="205"/>
    </row>
    <row r="157" spans="1:12">
      <c r="G157" s="1"/>
      <c r="H157" s="142"/>
      <c r="J157" s="142"/>
    </row>
    <row r="158" spans="1:12">
      <c r="H158" s="142"/>
      <c r="I158" s="142"/>
      <c r="J158" s="142"/>
    </row>
  </sheetData>
  <mergeCells count="65">
    <mergeCell ref="A13:A15"/>
    <mergeCell ref="B13:B15"/>
    <mergeCell ref="C13:C15"/>
    <mergeCell ref="D13:D15"/>
    <mergeCell ref="C17:C18"/>
    <mergeCell ref="B17:B18"/>
    <mergeCell ref="A17:A18"/>
    <mergeCell ref="D17:D18"/>
    <mergeCell ref="D25:E25"/>
    <mergeCell ref="D26:E26"/>
    <mergeCell ref="D19:E19"/>
    <mergeCell ref="D20:E20"/>
    <mergeCell ref="A6:I6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D11:E11"/>
    <mergeCell ref="D12:E12"/>
    <mergeCell ref="D30:E30"/>
    <mergeCell ref="D31:E31"/>
    <mergeCell ref="A33:A52"/>
    <mergeCell ref="B33:B52"/>
    <mergeCell ref="C33:C52"/>
    <mergeCell ref="D33:D52"/>
    <mergeCell ref="D53:E53"/>
    <mergeCell ref="A53:A64"/>
    <mergeCell ref="B53:B64"/>
    <mergeCell ref="C53:C64"/>
    <mergeCell ref="D54:D64"/>
    <mergeCell ref="D70:D119"/>
    <mergeCell ref="C70:C119"/>
    <mergeCell ref="B70:B119"/>
    <mergeCell ref="A70:A119"/>
    <mergeCell ref="A67:A69"/>
    <mergeCell ref="B67:B69"/>
    <mergeCell ref="C67:C69"/>
    <mergeCell ref="D67:D69"/>
    <mergeCell ref="D131:E131"/>
    <mergeCell ref="D120:E120"/>
    <mergeCell ref="D121:E121"/>
    <mergeCell ref="D130:E130"/>
    <mergeCell ref="A123:A129"/>
    <mergeCell ref="B123:B129"/>
    <mergeCell ref="C123:C129"/>
    <mergeCell ref="D123:D129"/>
    <mergeCell ref="D142:D145"/>
    <mergeCell ref="D154:E154"/>
    <mergeCell ref="D134:E134"/>
    <mergeCell ref="D135:E135"/>
    <mergeCell ref="A146:E146"/>
    <mergeCell ref="D147:E147"/>
    <mergeCell ref="A140:A141"/>
    <mergeCell ref="B140:B141"/>
    <mergeCell ref="C140:C141"/>
    <mergeCell ref="D140:D141"/>
    <mergeCell ref="A142:A145"/>
    <mergeCell ref="B142:B145"/>
    <mergeCell ref="C142:C145"/>
    <mergeCell ref="D149:E149"/>
  </mergeCells>
  <pageMargins left="0.16" right="0.16" top="0.16" bottom="0.12" header="0.16" footer="0.13"/>
  <pageSetup paperSize="9" scale="56" orientation="landscape" r:id="rId1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8</vt:i4>
      </vt:variant>
    </vt:vector>
  </HeadingPairs>
  <TitlesOfParts>
    <vt:vector size="12" baseType="lpstr">
      <vt:lpstr>початковий</vt:lpstr>
      <vt:lpstr>зміни квітень</vt:lpstr>
      <vt:lpstr>зі змінами квітень</vt:lpstr>
      <vt:lpstr>зміни червень</vt:lpstr>
      <vt:lpstr>'зі змінами квітень'!Заголовки_для_печати</vt:lpstr>
      <vt:lpstr>'зміни квітень'!Заголовки_для_печати</vt:lpstr>
      <vt:lpstr>'зміни червень'!Заголовки_для_печати</vt:lpstr>
      <vt:lpstr>початковий!Заголовки_для_печати</vt:lpstr>
      <vt:lpstr>'зі змінами квітень'!Область_печати</vt:lpstr>
      <vt:lpstr>'зміни квітень'!Область_печати</vt:lpstr>
      <vt:lpstr>'зміни червень'!Область_печати</vt:lpstr>
      <vt:lpstr>початковий!Область_печати</vt:lpstr>
    </vt:vector>
  </TitlesOfParts>
  <Company>УКХиЭ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77</dc:creator>
  <cp:lastModifiedBy>Администратор</cp:lastModifiedBy>
  <cp:lastPrinted>2019-06-24T14:17:37Z</cp:lastPrinted>
  <dcterms:created xsi:type="dcterms:W3CDTF">2005-08-15T04:40:30Z</dcterms:created>
  <dcterms:modified xsi:type="dcterms:W3CDTF">2019-06-25T06:16:21Z</dcterms:modified>
</cp:coreProperties>
</file>