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6" windowWidth="15576" windowHeight="11640"/>
  </bookViews>
  <sheets>
    <sheet name="зміни" sheetId="5" r:id="rId1"/>
    <sheet name="Дод. № 3 із змінами" sheetId="4" state="hidden" r:id="rId2"/>
  </sheets>
  <definedNames>
    <definedName name="_xlnm.Print_Titles" localSheetId="0">зміни!$9:$13</definedName>
    <definedName name="_xlnm.Print_Area" localSheetId="1">'Дод. № 3 із змінами'!$A$1:$O$201</definedName>
    <definedName name="_xlnm.Print_Area" localSheetId="0">зміни!$A$1:$O$90</definedName>
  </definedNames>
  <calcPr calcId="124519"/>
</workbook>
</file>

<file path=xl/calcChain.xml><?xml version="1.0" encoding="utf-8"?>
<calcChain xmlns="http://schemas.openxmlformats.org/spreadsheetml/2006/main">
  <c r="H86" i="5"/>
  <c r="O35"/>
  <c r="O19"/>
  <c r="H198" i="4"/>
  <c r="O198" s="1"/>
  <c r="E193"/>
  <c r="E194"/>
  <c r="N188"/>
  <c r="M188"/>
  <c r="L188"/>
  <c r="E188"/>
  <c r="F187"/>
  <c r="E187"/>
  <c r="F183"/>
  <c r="E183"/>
  <c r="E178"/>
  <c r="N175"/>
  <c r="M175"/>
  <c r="L175"/>
  <c r="F173"/>
  <c r="E173"/>
  <c r="F166"/>
  <c r="E166"/>
  <c r="E159"/>
  <c r="N150"/>
  <c r="M150"/>
  <c r="L150"/>
  <c r="N149"/>
  <c r="M149"/>
  <c r="L149"/>
  <c r="N144"/>
  <c r="M144"/>
  <c r="L144"/>
  <c r="F141"/>
  <c r="E141"/>
  <c r="J137"/>
  <c r="F137"/>
  <c r="E137"/>
  <c r="N136"/>
  <c r="M136"/>
  <c r="L136"/>
  <c r="E136"/>
  <c r="N135"/>
  <c r="M135"/>
  <c r="L135"/>
  <c r="E135"/>
  <c r="E134"/>
  <c r="F133"/>
  <c r="E133"/>
  <c r="F127"/>
  <c r="E127"/>
  <c r="E123"/>
  <c r="N80"/>
  <c r="M80"/>
  <c r="L80"/>
  <c r="F80"/>
  <c r="E80"/>
  <c r="F67"/>
  <c r="E67"/>
  <c r="F51"/>
  <c r="E51"/>
  <c r="F47"/>
  <c r="E47"/>
  <c r="N46"/>
  <c r="M46"/>
  <c r="L46"/>
  <c r="F46"/>
  <c r="E46"/>
  <c r="F45"/>
  <c r="E45"/>
  <c r="E42"/>
  <c r="F41"/>
  <c r="E41"/>
  <c r="E38"/>
  <c r="F37"/>
  <c r="E37"/>
  <c r="E34"/>
  <c r="F33"/>
  <c r="E33"/>
  <c r="E29"/>
  <c r="F17"/>
  <c r="E17"/>
  <c r="F16"/>
  <c r="E16"/>
  <c r="O86" i="5" l="1"/>
  <c r="O87"/>
  <c r="E85"/>
  <c r="L84"/>
  <c r="M84" s="1"/>
  <c r="N84" s="1"/>
  <c r="E75"/>
  <c r="M67"/>
  <c r="N67"/>
  <c r="L67"/>
  <c r="K67"/>
  <c r="J67"/>
  <c r="I67"/>
  <c r="F67"/>
  <c r="G67"/>
  <c r="E67"/>
  <c r="J61"/>
  <c r="K61"/>
  <c r="L61"/>
  <c r="M61"/>
  <c r="N61"/>
  <c r="I61"/>
  <c r="F61"/>
  <c r="G61"/>
  <c r="E61"/>
  <c r="F31"/>
  <c r="E31"/>
  <c r="E28"/>
  <c r="F25"/>
  <c r="G25"/>
  <c r="H25"/>
  <c r="I25"/>
  <c r="J25"/>
  <c r="K25"/>
  <c r="L25"/>
  <c r="M25"/>
  <c r="N25"/>
  <c r="E25"/>
  <c r="E22"/>
  <c r="E15"/>
  <c r="F75"/>
  <c r="M22"/>
  <c r="N22"/>
  <c r="L22"/>
  <c r="I22"/>
  <c r="G22"/>
  <c r="F22"/>
  <c r="I17" i="4"/>
  <c r="G140"/>
  <c r="I140"/>
  <c r="J140"/>
  <c r="K140"/>
  <c r="H153"/>
  <c r="O153" s="1"/>
  <c r="H145"/>
  <c r="O145" s="1"/>
  <c r="N193"/>
  <c r="M193"/>
  <c r="L193"/>
  <c r="I75" i="5"/>
  <c r="L162" i="4"/>
  <c r="N143"/>
  <c r="M143"/>
  <c r="L143"/>
  <c r="F140"/>
  <c r="E138"/>
  <c r="F136"/>
  <c r="E120"/>
  <c r="F117"/>
  <c r="E117"/>
  <c r="F116"/>
  <c r="E116"/>
  <c r="F114"/>
  <c r="E114"/>
  <c r="E88"/>
  <c r="E87"/>
  <c r="E86"/>
  <c r="E85"/>
  <c r="E84"/>
  <c r="E83"/>
  <c r="J47"/>
  <c r="I47"/>
  <c r="I36"/>
  <c r="I35" s="1"/>
  <c r="J36"/>
  <c r="J35" s="1"/>
  <c r="K36"/>
  <c r="K35" s="1"/>
  <c r="L36"/>
  <c r="L35" s="1"/>
  <c r="M36"/>
  <c r="M35" s="1"/>
  <c r="N36"/>
  <c r="N35" s="1"/>
  <c r="H36"/>
  <c r="H35" s="1"/>
  <c r="I30"/>
  <c r="I18"/>
  <c r="L17"/>
  <c r="L16"/>
  <c r="I16"/>
  <c r="I17" i="5"/>
  <c r="I15" s="1"/>
  <c r="I14" s="1"/>
  <c r="L17"/>
  <c r="L15" s="1"/>
  <c r="L14" s="1"/>
  <c r="H70"/>
  <c r="O70" s="1"/>
  <c r="O49"/>
  <c r="O48"/>
  <c r="O47"/>
  <c r="O46"/>
  <c r="O44"/>
  <c r="O43"/>
  <c r="E42"/>
  <c r="H20"/>
  <c r="O20" s="1"/>
  <c r="N75"/>
  <c r="M75"/>
  <c r="L75"/>
  <c r="N40"/>
  <c r="M40"/>
  <c r="L40"/>
  <c r="F82"/>
  <c r="O42" l="1"/>
  <c r="E82"/>
  <c r="H85"/>
  <c r="F79"/>
  <c r="E79"/>
  <c r="F72"/>
  <c r="E72"/>
  <c r="G15"/>
  <c r="F15"/>
  <c r="F52"/>
  <c r="F50" s="1"/>
  <c r="F40" s="1"/>
  <c r="E52"/>
  <c r="E50" s="1"/>
  <c r="E40" s="1"/>
  <c r="N37"/>
  <c r="M37"/>
  <c r="L37"/>
  <c r="K37"/>
  <c r="J37"/>
  <c r="I37"/>
  <c r="G37"/>
  <c r="F37"/>
  <c r="E37"/>
  <c r="N31"/>
  <c r="M31"/>
  <c r="L31"/>
  <c r="K31"/>
  <c r="J31"/>
  <c r="I31"/>
  <c r="G31"/>
  <c r="N24"/>
  <c r="M24"/>
  <c r="L24"/>
  <c r="K24"/>
  <c r="J24"/>
  <c r="I24"/>
  <c r="F58"/>
  <c r="E58"/>
  <c r="H40"/>
  <c r="H69"/>
  <c r="O69" s="1"/>
  <c r="O85" l="1"/>
  <c r="H37"/>
  <c r="H24"/>
  <c r="F28" l="1"/>
  <c r="F27" s="1"/>
  <c r="G28"/>
  <c r="G27" s="1"/>
  <c r="H84"/>
  <c r="N83"/>
  <c r="M83"/>
  <c r="L83"/>
  <c r="F81"/>
  <c r="K81"/>
  <c r="J81"/>
  <c r="I81"/>
  <c r="G81"/>
  <c r="O80"/>
  <c r="H79"/>
  <c r="H78" s="1"/>
  <c r="F78"/>
  <c r="E78"/>
  <c r="N78"/>
  <c r="M78"/>
  <c r="L78"/>
  <c r="K78"/>
  <c r="J78"/>
  <c r="I78"/>
  <c r="G78"/>
  <c r="N74"/>
  <c r="M74"/>
  <c r="H77"/>
  <c r="O77" s="1"/>
  <c r="H76"/>
  <c r="O76" s="1"/>
  <c r="I74"/>
  <c r="F74"/>
  <c r="E74"/>
  <c r="K74"/>
  <c r="J74"/>
  <c r="G74"/>
  <c r="H73"/>
  <c r="O73" s="1"/>
  <c r="N71"/>
  <c r="M71"/>
  <c r="L71"/>
  <c r="F71"/>
  <c r="E71"/>
  <c r="N66"/>
  <c r="M66"/>
  <c r="O68"/>
  <c r="K66"/>
  <c r="J66"/>
  <c r="I66"/>
  <c r="G66"/>
  <c r="F66"/>
  <c r="H65"/>
  <c r="H64"/>
  <c r="H63"/>
  <c r="O62"/>
  <c r="N60"/>
  <c r="M60"/>
  <c r="J60"/>
  <c r="I60"/>
  <c r="G60"/>
  <c r="K60"/>
  <c r="O59"/>
  <c r="F57"/>
  <c r="E57"/>
  <c r="O56"/>
  <c r="O55"/>
  <c r="O54"/>
  <c r="O53"/>
  <c r="H51"/>
  <c r="H50" s="1"/>
  <c r="N39"/>
  <c r="I39"/>
  <c r="G39"/>
  <c r="H41"/>
  <c r="D41"/>
  <c r="O38"/>
  <c r="N36"/>
  <c r="M36"/>
  <c r="L36"/>
  <c r="K36"/>
  <c r="J36"/>
  <c r="I36"/>
  <c r="G36"/>
  <c r="F36"/>
  <c r="H34"/>
  <c r="E30"/>
  <c r="H33"/>
  <c r="O32"/>
  <c r="M30"/>
  <c r="L30"/>
  <c r="K30"/>
  <c r="J30"/>
  <c r="I30"/>
  <c r="G30"/>
  <c r="N30"/>
  <c r="H29"/>
  <c r="I28"/>
  <c r="H28" s="1"/>
  <c r="H27" s="1"/>
  <c r="O26"/>
  <c r="G24"/>
  <c r="F24"/>
  <c r="H23"/>
  <c r="O23" s="1"/>
  <c r="N21"/>
  <c r="M21"/>
  <c r="G21"/>
  <c r="F21"/>
  <c r="E21"/>
  <c r="H18"/>
  <c r="O18" s="1"/>
  <c r="H17"/>
  <c r="O17" s="1"/>
  <c r="H16"/>
  <c r="O16" s="1"/>
  <c r="G14"/>
  <c r="E14"/>
  <c r="H197" i="4"/>
  <c r="O197" s="1"/>
  <c r="H196"/>
  <c r="O196" s="1"/>
  <c r="H195"/>
  <c r="O195" s="1"/>
  <c r="O194"/>
  <c r="E169"/>
  <c r="E165" s="1"/>
  <c r="F165"/>
  <c r="G165"/>
  <c r="J165"/>
  <c r="K165"/>
  <c r="N82" i="5" l="1"/>
  <c r="N81" s="1"/>
  <c r="N88" s="1"/>
  <c r="M82"/>
  <c r="M81" s="1"/>
  <c r="H83"/>
  <c r="L82"/>
  <c r="L81" s="1"/>
  <c r="G88"/>
  <c r="H36"/>
  <c r="O33"/>
  <c r="H31"/>
  <c r="H30" s="1"/>
  <c r="O30" s="1"/>
  <c r="O84"/>
  <c r="E81"/>
  <c r="O52"/>
  <c r="O51" s="1"/>
  <c r="O50" s="1"/>
  <c r="H61"/>
  <c r="H60" s="1"/>
  <c r="O65"/>
  <c r="O64"/>
  <c r="H72"/>
  <c r="H71" s="1"/>
  <c r="O63"/>
  <c r="L66"/>
  <c r="I27"/>
  <c r="F60"/>
  <c r="F39"/>
  <c r="M39"/>
  <c r="L21"/>
  <c r="L39"/>
  <c r="L74"/>
  <c r="J39"/>
  <c r="J88" s="1"/>
  <c r="E60"/>
  <c r="O79"/>
  <c r="O78" s="1"/>
  <c r="H39"/>
  <c r="H22"/>
  <c r="F30"/>
  <c r="O41"/>
  <c r="O58"/>
  <c r="O57" s="1"/>
  <c r="O34"/>
  <c r="O28"/>
  <c r="E27"/>
  <c r="O27" s="1"/>
  <c r="F14"/>
  <c r="I21"/>
  <c r="O29"/>
  <c r="L60"/>
  <c r="H15"/>
  <c r="I179" i="4"/>
  <c r="I169"/>
  <c r="I165" s="1"/>
  <c r="O159"/>
  <c r="E150"/>
  <c r="E93"/>
  <c r="E92"/>
  <c r="E91"/>
  <c r="N34"/>
  <c r="M34"/>
  <c r="L34"/>
  <c r="G15"/>
  <c r="K15"/>
  <c r="H30"/>
  <c r="O30" s="1"/>
  <c r="O20"/>
  <c r="F88" i="5" l="1"/>
  <c r="O83"/>
  <c r="H82"/>
  <c r="H81" s="1"/>
  <c r="M88"/>
  <c r="I88"/>
  <c r="L88"/>
  <c r="H21"/>
  <c r="O21" s="1"/>
  <c r="O22"/>
  <c r="O72"/>
  <c r="O71" s="1"/>
  <c r="O61"/>
  <c r="O60" s="1"/>
  <c r="H67"/>
  <c r="H66" s="1"/>
  <c r="H75"/>
  <c r="H74" s="1"/>
  <c r="O40"/>
  <c r="O31"/>
  <c r="E39"/>
  <c r="K39"/>
  <c r="K88" s="1"/>
  <c r="E66"/>
  <c r="O15"/>
  <c r="H14"/>
  <c r="O14" s="1"/>
  <c r="E36"/>
  <c r="O36" s="1"/>
  <c r="O37"/>
  <c r="E24"/>
  <c r="O25"/>
  <c r="H169" i="4"/>
  <c r="O169" s="1"/>
  <c r="H193"/>
  <c r="H190" s="1"/>
  <c r="H189" s="1"/>
  <c r="E190"/>
  <c r="O192"/>
  <c r="O191"/>
  <c r="N190"/>
  <c r="N189" s="1"/>
  <c r="M190"/>
  <c r="M189" s="1"/>
  <c r="L190"/>
  <c r="L189" s="1"/>
  <c r="H188"/>
  <c r="O188" s="1"/>
  <c r="N187"/>
  <c r="N186" s="1"/>
  <c r="N185" s="1"/>
  <c r="M187"/>
  <c r="M186" s="1"/>
  <c r="M185" s="1"/>
  <c r="L187"/>
  <c r="H187" s="1"/>
  <c r="O187" s="1"/>
  <c r="F186"/>
  <c r="F185" s="1"/>
  <c r="E186"/>
  <c r="E185" s="1"/>
  <c r="K185"/>
  <c r="J185"/>
  <c r="I185"/>
  <c r="G185"/>
  <c r="H184"/>
  <c r="O184" s="1"/>
  <c r="N183"/>
  <c r="N182" s="1"/>
  <c r="N181" s="1"/>
  <c r="M183"/>
  <c r="M182" s="1"/>
  <c r="M181" s="1"/>
  <c r="L183"/>
  <c r="H183" s="1"/>
  <c r="O183" s="1"/>
  <c r="F182"/>
  <c r="F181" s="1"/>
  <c r="E182"/>
  <c r="K181"/>
  <c r="J181"/>
  <c r="I181"/>
  <c r="G181"/>
  <c r="H180"/>
  <c r="O180" s="1"/>
  <c r="H179"/>
  <c r="O179" s="1"/>
  <c r="O178"/>
  <c r="H177"/>
  <c r="H176" s="1"/>
  <c r="N176"/>
  <c r="M176"/>
  <c r="L176"/>
  <c r="H175"/>
  <c r="O175" s="1"/>
  <c r="O174"/>
  <c r="N173"/>
  <c r="N172" s="1"/>
  <c r="N171" s="1"/>
  <c r="M173"/>
  <c r="M172" s="1"/>
  <c r="M171" s="1"/>
  <c r="L173"/>
  <c r="I172"/>
  <c r="I171" s="1"/>
  <c r="F172"/>
  <c r="F171" s="1"/>
  <c r="E172"/>
  <c r="E171" s="1"/>
  <c r="K171"/>
  <c r="J171"/>
  <c r="G171"/>
  <c r="O170"/>
  <c r="H168"/>
  <c r="O168" s="1"/>
  <c r="N167"/>
  <c r="M167"/>
  <c r="L167"/>
  <c r="H167" s="1"/>
  <c r="O167" s="1"/>
  <c r="N166"/>
  <c r="M166"/>
  <c r="L166"/>
  <c r="L165" s="1"/>
  <c r="E164"/>
  <c r="F164"/>
  <c r="H163"/>
  <c r="O163" s="1"/>
  <c r="H162"/>
  <c r="O162" s="1"/>
  <c r="H161"/>
  <c r="O161" s="1"/>
  <c r="O160"/>
  <c r="E158"/>
  <c r="E156" s="1"/>
  <c r="N155"/>
  <c r="M155"/>
  <c r="L155"/>
  <c r="H155" s="1"/>
  <c r="O155" s="1"/>
  <c r="H154"/>
  <c r="O154" s="1"/>
  <c r="H152"/>
  <c r="E152"/>
  <c r="O151"/>
  <c r="H150"/>
  <c r="H149"/>
  <c r="O149" s="1"/>
  <c r="N148"/>
  <c r="N147" s="1"/>
  <c r="M148"/>
  <c r="L148"/>
  <c r="E147"/>
  <c r="O146"/>
  <c r="H142"/>
  <c r="E142"/>
  <c r="N141"/>
  <c r="M141"/>
  <c r="L141"/>
  <c r="K139"/>
  <c r="J139"/>
  <c r="I139"/>
  <c r="G139"/>
  <c r="F139"/>
  <c r="H138"/>
  <c r="O138" s="1"/>
  <c r="N137"/>
  <c r="M137"/>
  <c r="L137"/>
  <c r="H137" s="1"/>
  <c r="E132"/>
  <c r="H136"/>
  <c r="H135"/>
  <c r="F135"/>
  <c r="N134"/>
  <c r="M134"/>
  <c r="M132" s="1"/>
  <c r="M131" s="1"/>
  <c r="L134"/>
  <c r="H134" s="1"/>
  <c r="F134"/>
  <c r="O133"/>
  <c r="J132"/>
  <c r="J131" s="1"/>
  <c r="I132"/>
  <c r="I131" s="1"/>
  <c r="G132"/>
  <c r="G131" s="1"/>
  <c r="K131"/>
  <c r="O130"/>
  <c r="O129"/>
  <c r="O128" s="1"/>
  <c r="E128"/>
  <c r="O127"/>
  <c r="F126"/>
  <c r="F125" s="1"/>
  <c r="E126"/>
  <c r="O126" s="1"/>
  <c r="O125" s="1"/>
  <c r="O124"/>
  <c r="O123"/>
  <c r="O122"/>
  <c r="O121" s="1"/>
  <c r="E121"/>
  <c r="O120"/>
  <c r="O119"/>
  <c r="O118" s="1"/>
  <c r="E118"/>
  <c r="O117"/>
  <c r="F115"/>
  <c r="O116"/>
  <c r="G115"/>
  <c r="N114"/>
  <c r="N113" s="1"/>
  <c r="M114"/>
  <c r="M113" s="1"/>
  <c r="L114"/>
  <c r="L113" s="1"/>
  <c r="I113"/>
  <c r="G113"/>
  <c r="F113"/>
  <c r="E112"/>
  <c r="O112" s="1"/>
  <c r="E111"/>
  <c r="O111" s="1"/>
  <c r="E110"/>
  <c r="O110" s="1"/>
  <c r="E109"/>
  <c r="O109" s="1"/>
  <c r="E108"/>
  <c r="E107"/>
  <c r="O107" s="1"/>
  <c r="E106"/>
  <c r="O106" s="1"/>
  <c r="E105"/>
  <c r="O105" s="1"/>
  <c r="E104"/>
  <c r="O104" s="1"/>
  <c r="E103"/>
  <c r="O103" s="1"/>
  <c r="N102"/>
  <c r="M102"/>
  <c r="L102"/>
  <c r="K102"/>
  <c r="J102"/>
  <c r="I102"/>
  <c r="H102"/>
  <c r="G102"/>
  <c r="F102"/>
  <c r="O101"/>
  <c r="O100"/>
  <c r="O99"/>
  <c r="O98"/>
  <c r="N97"/>
  <c r="M97"/>
  <c r="L97"/>
  <c r="K97"/>
  <c r="J97"/>
  <c r="I97"/>
  <c r="H97"/>
  <c r="G97"/>
  <c r="F97"/>
  <c r="E97"/>
  <c r="O96"/>
  <c r="E95"/>
  <c r="O95" s="1"/>
  <c r="E94"/>
  <c r="O94" s="1"/>
  <c r="O93"/>
  <c r="O92"/>
  <c r="N90"/>
  <c r="M90"/>
  <c r="L90"/>
  <c r="K90"/>
  <c r="J90"/>
  <c r="I90"/>
  <c r="H90"/>
  <c r="G90"/>
  <c r="F90"/>
  <c r="O89"/>
  <c r="O88"/>
  <c r="O87"/>
  <c r="O86"/>
  <c r="O85"/>
  <c r="O84"/>
  <c r="N82"/>
  <c r="M82"/>
  <c r="L82"/>
  <c r="K82"/>
  <c r="K79" s="1"/>
  <c r="K78" s="1"/>
  <c r="J82"/>
  <c r="I82"/>
  <c r="H82"/>
  <c r="G82"/>
  <c r="F82"/>
  <c r="E81"/>
  <c r="O81" s="1"/>
  <c r="H80"/>
  <c r="O80" s="1"/>
  <c r="D80"/>
  <c r="E77"/>
  <c r="E76" s="1"/>
  <c r="O76" s="1"/>
  <c r="O75"/>
  <c r="O74"/>
  <c r="O73"/>
  <c r="E73"/>
  <c r="O72"/>
  <c r="O71"/>
  <c r="E70"/>
  <c r="E66" s="1"/>
  <c r="O69"/>
  <c r="E68"/>
  <c r="O68" s="1"/>
  <c r="N67"/>
  <c r="N66" s="1"/>
  <c r="N65" s="1"/>
  <c r="M67"/>
  <c r="M66" s="1"/>
  <c r="M65" s="1"/>
  <c r="L67"/>
  <c r="H67" s="1"/>
  <c r="K66"/>
  <c r="K65" s="1"/>
  <c r="J66"/>
  <c r="J65" s="1"/>
  <c r="I66"/>
  <c r="I65" s="1"/>
  <c r="G66"/>
  <c r="G65" s="1"/>
  <c r="F66"/>
  <c r="F65" s="1"/>
  <c r="H64"/>
  <c r="E64"/>
  <c r="M63"/>
  <c r="L63"/>
  <c r="H63" s="1"/>
  <c r="O63" s="1"/>
  <c r="N62"/>
  <c r="M62"/>
  <c r="L62"/>
  <c r="H62" s="1"/>
  <c r="H61" s="1"/>
  <c r="F62"/>
  <c r="F61" s="1"/>
  <c r="E62"/>
  <c r="G61"/>
  <c r="O60"/>
  <c r="E59"/>
  <c r="O59" s="1"/>
  <c r="O58"/>
  <c r="N57"/>
  <c r="M57"/>
  <c r="L57"/>
  <c r="H57" s="1"/>
  <c r="F57"/>
  <c r="E57"/>
  <c r="F56"/>
  <c r="E56"/>
  <c r="O56" s="1"/>
  <c r="N55"/>
  <c r="M55"/>
  <c r="L55"/>
  <c r="H55" s="1"/>
  <c r="F55"/>
  <c r="E55"/>
  <c r="O54"/>
  <c r="N53"/>
  <c r="M53"/>
  <c r="L53"/>
  <c r="F53"/>
  <c r="E53"/>
  <c r="O52"/>
  <c r="H51"/>
  <c r="F50"/>
  <c r="E50"/>
  <c r="O50" s="1"/>
  <c r="F49"/>
  <c r="E49"/>
  <c r="O49" s="1"/>
  <c r="F48"/>
  <c r="E48"/>
  <c r="O48" s="1"/>
  <c r="N47"/>
  <c r="M47"/>
  <c r="L47"/>
  <c r="H47" s="1"/>
  <c r="H46"/>
  <c r="O45"/>
  <c r="K44"/>
  <c r="K43" s="1"/>
  <c r="J44"/>
  <c r="J43" s="1"/>
  <c r="I44"/>
  <c r="I43" s="1"/>
  <c r="G44"/>
  <c r="G43" s="1"/>
  <c r="O42"/>
  <c r="H41"/>
  <c r="O41" s="1"/>
  <c r="E40"/>
  <c r="I40"/>
  <c r="I39" s="1"/>
  <c r="G40"/>
  <c r="G39" s="1"/>
  <c r="F40"/>
  <c r="F39" s="1"/>
  <c r="O38"/>
  <c r="F36"/>
  <c r="F35" s="1"/>
  <c r="E36"/>
  <c r="G36"/>
  <c r="G35" s="1"/>
  <c r="H34"/>
  <c r="O34" s="1"/>
  <c r="H33"/>
  <c r="F32"/>
  <c r="F31" s="1"/>
  <c r="N32"/>
  <c r="N31" s="1"/>
  <c r="M32"/>
  <c r="M31" s="1"/>
  <c r="L32"/>
  <c r="L31" s="1"/>
  <c r="I32"/>
  <c r="I31" s="1"/>
  <c r="G32"/>
  <c r="E32"/>
  <c r="H29"/>
  <c r="O28"/>
  <c r="O27"/>
  <c r="E27"/>
  <c r="E25" s="1"/>
  <c r="O25" s="1"/>
  <c r="O24"/>
  <c r="O23"/>
  <c r="O22"/>
  <c r="E21"/>
  <c r="O21" s="1"/>
  <c r="O19"/>
  <c r="J18"/>
  <c r="J15" s="1"/>
  <c r="J14" s="1"/>
  <c r="I15"/>
  <c r="F18"/>
  <c r="E18"/>
  <c r="N17"/>
  <c r="N15" s="1"/>
  <c r="N14" s="1"/>
  <c r="M17"/>
  <c r="M16"/>
  <c r="H16"/>
  <c r="F15"/>
  <c r="F14" s="1"/>
  <c r="G14"/>
  <c r="K14"/>
  <c r="O177" l="1"/>
  <c r="O176" s="1"/>
  <c r="E102"/>
  <c r="M165"/>
  <c r="O156"/>
  <c r="E140"/>
  <c r="N44"/>
  <c r="N43" s="1"/>
  <c r="F132"/>
  <c r="F131" s="1"/>
  <c r="I79"/>
  <c r="I78" s="1"/>
  <c r="H40"/>
  <c r="H39" s="1"/>
  <c r="G79"/>
  <c r="G78" s="1"/>
  <c r="O62"/>
  <c r="O64"/>
  <c r="L186"/>
  <c r="H186" s="1"/>
  <c r="H185" s="1"/>
  <c r="M44"/>
  <c r="M43" s="1"/>
  <c r="N140"/>
  <c r="N139" s="1"/>
  <c r="H141"/>
  <c r="O141" s="1"/>
  <c r="O57"/>
  <c r="O70"/>
  <c r="O77"/>
  <c r="J79"/>
  <c r="J78" s="1"/>
  <c r="O150"/>
  <c r="F79"/>
  <c r="F78" s="1"/>
  <c r="H88" i="5"/>
  <c r="O39"/>
  <c r="E88"/>
  <c r="O82"/>
  <c r="O81" s="1"/>
  <c r="O75"/>
  <c r="O74" s="1"/>
  <c r="O66"/>
  <c r="O67"/>
  <c r="O24"/>
  <c r="O135" i="4"/>
  <c r="L79"/>
  <c r="L78" s="1"/>
  <c r="H114"/>
  <c r="H113" s="1"/>
  <c r="E44"/>
  <c r="E43" s="1"/>
  <c r="O55"/>
  <c r="I199"/>
  <c r="I203" s="1"/>
  <c r="H18"/>
  <c r="O18" s="1"/>
  <c r="H79"/>
  <c r="H78" s="1"/>
  <c r="E82"/>
  <c r="O82" s="1"/>
  <c r="L44"/>
  <c r="L43" s="1"/>
  <c r="K199"/>
  <c r="K203" s="1"/>
  <c r="E61"/>
  <c r="O61" s="1"/>
  <c r="O108"/>
  <c r="O102" s="1"/>
  <c r="M147"/>
  <c r="M140" s="1"/>
  <c r="L172"/>
  <c r="L171" s="1"/>
  <c r="E181"/>
  <c r="O114"/>
  <c r="O115"/>
  <c r="O152"/>
  <c r="F44"/>
  <c r="F43" s="1"/>
  <c r="M15"/>
  <c r="G199"/>
  <c r="G203" s="1"/>
  <c r="O134"/>
  <c r="L15"/>
  <c r="L14" s="1"/>
  <c r="O51"/>
  <c r="N79"/>
  <c r="N78" s="1"/>
  <c r="L132"/>
  <c r="H132" s="1"/>
  <c r="H131" s="1"/>
  <c r="L147"/>
  <c r="L140" s="1"/>
  <c r="I14"/>
  <c r="O33"/>
  <c r="E90"/>
  <c r="O97"/>
  <c r="E125"/>
  <c r="O142"/>
  <c r="H148"/>
  <c r="O148" s="1"/>
  <c r="O147" s="1"/>
  <c r="M164"/>
  <c r="L182"/>
  <c r="N165"/>
  <c r="N164" s="1"/>
  <c r="O16"/>
  <c r="E15"/>
  <c r="O137"/>
  <c r="O29"/>
  <c r="N132"/>
  <c r="N131" s="1"/>
  <c r="O136"/>
  <c r="H32"/>
  <c r="H31" s="1"/>
  <c r="L164"/>
  <c r="E39"/>
  <c r="H66"/>
  <c r="H65" s="1"/>
  <c r="O67"/>
  <c r="O36"/>
  <c r="E35"/>
  <c r="O35" s="1"/>
  <c r="E189"/>
  <c r="O190"/>
  <c r="O189" s="1"/>
  <c r="O46"/>
  <c r="M79"/>
  <c r="M78" s="1"/>
  <c r="M14"/>
  <c r="G31"/>
  <c r="O37"/>
  <c r="H53"/>
  <c r="O53" s="1"/>
  <c r="L66"/>
  <c r="L65" s="1"/>
  <c r="O83"/>
  <c r="O91"/>
  <c r="O90" s="1"/>
  <c r="E113"/>
  <c r="O113" s="1"/>
  <c r="E115"/>
  <c r="O158"/>
  <c r="H166"/>
  <c r="H173"/>
  <c r="O173" s="1"/>
  <c r="O47"/>
  <c r="E31"/>
  <c r="E65"/>
  <c r="E131"/>
  <c r="H144"/>
  <c r="H143" s="1"/>
  <c r="O193"/>
  <c r="H17"/>
  <c r="O17" s="1"/>
  <c r="J199"/>
  <c r="J203" s="1"/>
  <c r="L185" l="1"/>
  <c r="O186"/>
  <c r="O185" s="1"/>
  <c r="M139"/>
  <c r="O39"/>
  <c r="O40"/>
  <c r="O65"/>
  <c r="H172"/>
  <c r="O88" i="5"/>
  <c r="L139" i="4"/>
  <c r="O166"/>
  <c r="H165"/>
  <c r="L181"/>
  <c r="H182"/>
  <c r="H15"/>
  <c r="H14" s="1"/>
  <c r="F199"/>
  <c r="F203" s="1"/>
  <c r="H44"/>
  <c r="O66"/>
  <c r="H147"/>
  <c r="H140" s="1"/>
  <c r="H139" s="1"/>
  <c r="L131"/>
  <c r="O31"/>
  <c r="E79"/>
  <c r="E78" s="1"/>
  <c r="O78" s="1"/>
  <c r="O132"/>
  <c r="O131" s="1"/>
  <c r="O32"/>
  <c r="E14"/>
  <c r="M199"/>
  <c r="M203" s="1"/>
  <c r="E139"/>
  <c r="O144"/>
  <c r="O143"/>
  <c r="N199"/>
  <c r="N203" s="1"/>
  <c r="O172"/>
  <c r="O171" s="1"/>
  <c r="H171"/>
  <c r="L199"/>
  <c r="O79" l="1"/>
  <c r="H199"/>
  <c r="H203" s="1"/>
  <c r="L203"/>
  <c r="O15"/>
  <c r="O165"/>
  <c r="O164" s="1"/>
  <c r="H164"/>
  <c r="H43"/>
  <c r="O43" s="1"/>
  <c r="O44"/>
  <c r="H181"/>
  <c r="O182"/>
  <c r="O181" s="1"/>
  <c r="O139"/>
  <c r="O140"/>
  <c r="O14"/>
  <c r="E199"/>
  <c r="O199" l="1"/>
  <c r="O203" s="1"/>
  <c r="E203"/>
</calcChain>
</file>

<file path=xl/sharedStrings.xml><?xml version="1.0" encoding="utf-8"?>
<sst xmlns="http://schemas.openxmlformats.org/spreadsheetml/2006/main" count="904" uniqueCount="460">
  <si>
    <t>(тис.грн.)</t>
  </si>
  <si>
    <t>Видатки загального фонду</t>
  </si>
  <si>
    <t>Всього</t>
  </si>
  <si>
    <t>з них</t>
  </si>
  <si>
    <t>оплата праці</t>
  </si>
  <si>
    <t>комунальні послуги та енергоносії</t>
  </si>
  <si>
    <t>Видатки спеціального фонду</t>
  </si>
  <si>
    <t>споживання</t>
  </si>
  <si>
    <t>розвитку</t>
  </si>
  <si>
    <t>бюджет розвитку</t>
  </si>
  <si>
    <t>капітальні видатки за рахунок коштів, що передаються із загального фонду до бюджету розвитку (спеціального фонду)</t>
  </si>
  <si>
    <t>РАЗОМ</t>
  </si>
  <si>
    <t>Інші видатки </t>
  </si>
  <si>
    <t>Благоустрій міст, сіл, селищ </t>
  </si>
  <si>
    <t>Інші видатки на соціальний захист населення </t>
  </si>
  <si>
    <t xml:space="preserve">Інші заходи, пов`язані з економічною діяльністю, всього - </t>
  </si>
  <si>
    <t>в т.ч.</t>
  </si>
  <si>
    <t>фінансова підтримка комунальному підприємству "Муніципальна охорона"</t>
  </si>
  <si>
    <t>Видатки на запобігання та ліквідацію надзвичайних ситуацій та наслідків стихійного лиха </t>
  </si>
  <si>
    <t>Бібліотеки </t>
  </si>
  <si>
    <t>Музеї і виставки </t>
  </si>
  <si>
    <t>Палаци і будинки культури, клуби та інші заклади клубного типу </t>
  </si>
  <si>
    <t>Школи естетичного виховання дітей </t>
  </si>
  <si>
    <t>Інші культурно-освітні заклади та заходи </t>
  </si>
  <si>
    <t>Інші заходи, пов`язані з економічною діяльністю, всього -  </t>
  </si>
  <si>
    <t>Інша діяльність у сфері охорони навколишнього природного середовища </t>
  </si>
  <si>
    <t>Цільові фонди, утворені Верховною Радою Автономної Республіки Крим, органами місцевого самоврядування і місцевими органами виконавчої влади </t>
  </si>
  <si>
    <t>Резервний фонд </t>
  </si>
  <si>
    <t>Реверсна дотація</t>
  </si>
  <si>
    <t>Розробка схем та проектних рішень масового застосування </t>
  </si>
  <si>
    <t>Відділ освіти Чорноморської  міської ради Одеської області</t>
  </si>
  <si>
    <t>Відділ  культури Чорноморської міської ради  Одеської області</t>
  </si>
  <si>
    <t>Фінансове управління Чорноморської міської ради Одеської області</t>
  </si>
  <si>
    <t>Інші видатки</t>
  </si>
  <si>
    <t>Бурлачобалківська сільська адміністрація Чорноморської міської ради Одеської області</t>
  </si>
  <si>
    <t>Відділ у справах сім`ї , молоді та спорту Чорноморської  міської ради Одеської області</t>
  </si>
  <si>
    <t>Олександрівська селищна адміністраціяЧорноморської міської ради Одеської області</t>
  </si>
  <si>
    <t>Малодолинська сільська адміністрація Чорноморської міської ради Одеської області</t>
  </si>
  <si>
    <t>Управління соціальної політики Чорноморської  міської ради Одеської області</t>
  </si>
  <si>
    <t>Служба у справах дітей Чорноморської  міської ради  Одеської області</t>
  </si>
  <si>
    <t>Відділ комунального господарства і благоустрою Чорноморської  міської ради Одеської області</t>
  </si>
  <si>
    <t>Управління комунальної  власності  та земельних відносин Чорноморської  міської ради Одеської області</t>
  </si>
  <si>
    <t>Управління архітектури та містобудування Чорноморської  міської ради Одеської області</t>
  </si>
  <si>
    <t>Фінансове управління Чорноморської  міської ради Одеської області</t>
  </si>
  <si>
    <t>Виконавчий комітет Чорноморської міської ради Одеської області</t>
  </si>
  <si>
    <t xml:space="preserve">в тому числі оплата праці з нарахуваннями педагогічних працівників у таких типах навчальних закладів за рахунок освітньої  субвенції </t>
  </si>
  <si>
    <t>Управління капітального будівництва Чорноморської міської ради Одеської області</t>
  </si>
  <si>
    <t>фінансова підтримка  комунальному підприємству "Чорноморськводоканал" Чорноморської міської ради</t>
  </si>
  <si>
    <t>фінансова підтримка  комунальному підприємству "Чорноморськтеплоенерго"</t>
  </si>
  <si>
    <t>Додаток 3</t>
  </si>
  <si>
    <t>Код програмної класифікації видатків та кредитування місцевих бюджетів</t>
  </si>
  <si>
    <t>Код ТПКВКМБ /
ТКВКБМС</t>
  </si>
  <si>
    <t>Код ФКВКБ</t>
  </si>
  <si>
    <t>15=5+8</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</si>
  <si>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</si>
  <si>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0300000</t>
  </si>
  <si>
    <t>0310000</t>
  </si>
  <si>
    <t>0310170</t>
  </si>
  <si>
    <t>0170</t>
  </si>
  <si>
    <t>0111</t>
  </si>
  <si>
    <t>Організаційне, інформатично-аналітичне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органів</t>
  </si>
  <si>
    <t>3400</t>
  </si>
  <si>
    <t>0313400</t>
  </si>
  <si>
    <t>1090</t>
  </si>
  <si>
    <t>7210</t>
  </si>
  <si>
    <t>0317210</t>
  </si>
  <si>
    <t>Підтримка засобів масової інформації</t>
  </si>
  <si>
    <t>7211</t>
  </si>
  <si>
    <t>0317211</t>
  </si>
  <si>
    <t>0830</t>
  </si>
  <si>
    <t>Сприяння діяльності тебелачення і радіомовлення</t>
  </si>
  <si>
    <t>7212</t>
  </si>
  <si>
    <t>0317212</t>
  </si>
  <si>
    <t>Підтримка періодичних  видань (газет та журналів) </t>
  </si>
  <si>
    <t>7500</t>
  </si>
  <si>
    <t>0317500</t>
  </si>
  <si>
    <t>0411</t>
  </si>
  <si>
    <t>7810</t>
  </si>
  <si>
    <t>0320</t>
  </si>
  <si>
    <t>0317810</t>
  </si>
  <si>
    <t>8600</t>
  </si>
  <si>
    <t>0133</t>
  </si>
  <si>
    <t>0318600</t>
  </si>
  <si>
    <t>7410</t>
  </si>
  <si>
    <t>0470</t>
  </si>
  <si>
    <t>0317410</t>
  </si>
  <si>
    <t>Заходи з енергозбереження</t>
  </si>
  <si>
    <t>6060</t>
  </si>
  <si>
    <t>0620</t>
  </si>
  <si>
    <t>0316060</t>
  </si>
  <si>
    <t>1000000</t>
  </si>
  <si>
    <t>1010000</t>
  </si>
  <si>
    <t>0180</t>
  </si>
  <si>
    <t>1010180</t>
  </si>
  <si>
    <t>Керівництво і управління у відповідній сфері у містах республіканського Автономної Республіки Крим та обласного значення</t>
  </si>
  <si>
    <t>1010</t>
  </si>
  <si>
    <t xml:space="preserve">Дошкільна освіта </t>
  </si>
  <si>
    <t>1011010</t>
  </si>
  <si>
    <t>0910</t>
  </si>
  <si>
    <t>1020</t>
  </si>
  <si>
    <t>1011020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</si>
  <si>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</si>
  <si>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</si>
  <si>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</si>
  <si>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1011030</t>
  </si>
  <si>
    <t>Надання загальної середньої освiти вечiрнiми (змiнними) школами</t>
  </si>
  <si>
    <t>0922</t>
  </si>
  <si>
    <t>1011090</t>
  </si>
  <si>
    <t>0960</t>
  </si>
  <si>
    <t>Надання позашкільної освіти позашкільними закладами освіти, заходи із позашкільної роботи з дітьми</t>
  </si>
  <si>
    <t>1150</t>
  </si>
  <si>
    <t>1011150</t>
  </si>
  <si>
    <t>0950</t>
  </si>
  <si>
    <t>Підвищення кваліфікації, перепідготовка кадрів іншими закладами післядипломної освіти</t>
  </si>
  <si>
    <t>1170</t>
  </si>
  <si>
    <t>1011170</t>
  </si>
  <si>
    <t>0990</t>
  </si>
  <si>
    <t xml:space="preserve">Методичне забезпечення діяльності навчальних закладів та інші заходи в галузі освіти </t>
  </si>
  <si>
    <t>1190</t>
  </si>
  <si>
    <t>1011190</t>
  </si>
  <si>
    <t xml:space="preserve">Централізоване ведення бухгалтерського обліку </t>
  </si>
  <si>
    <t>1200</t>
  </si>
  <si>
    <t>1011200</t>
  </si>
  <si>
    <t xml:space="preserve">Здійснення  централізованого господарського обслуговування </t>
  </si>
  <si>
    <t>1230</t>
  </si>
  <si>
    <t>1011230</t>
  </si>
  <si>
    <t>Надання допомоги дітям-сиротам та дітям, позбавленим батьківського піклування, яким виповнюється 18 років</t>
  </si>
  <si>
    <t>1013400</t>
  </si>
  <si>
    <t>Інші видатки на соціальний захист населення  </t>
  </si>
  <si>
    <t>3160</t>
  </si>
  <si>
    <t>1013160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</si>
  <si>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</si>
  <si>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</si>
  <si>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0810</t>
  </si>
  <si>
    <t>6310</t>
  </si>
  <si>
    <t>Утримання та навчально-тренувальна робота комунальних дитячо-юнацьких спортивних шкіл</t>
  </si>
  <si>
    <t>1016310</t>
  </si>
  <si>
    <t>0490</t>
  </si>
  <si>
    <t>Реалізація заходів щодо інвестиційного розвитку території</t>
  </si>
  <si>
    <t>1100000</t>
  </si>
  <si>
    <t>1110000</t>
  </si>
  <si>
    <t>1110180</t>
  </si>
  <si>
    <t>3140</t>
  </si>
  <si>
    <t>1113140</t>
  </si>
  <si>
    <t>3134</t>
  </si>
  <si>
    <t>3130</t>
  </si>
  <si>
    <t>1113130</t>
  </si>
  <si>
    <t>Здійснення соціальної роботи з вразливими категоріями населення</t>
  </si>
  <si>
    <t>1113134</t>
  </si>
  <si>
    <t>Заходи державної політики з питань сім'ї</t>
  </si>
  <si>
    <t>1113160</t>
  </si>
  <si>
    <t>5010</t>
  </si>
  <si>
    <t>1115010</t>
  </si>
  <si>
    <t>Проведення спортивної роботи в регіоні</t>
  </si>
  <si>
    <t>5011</t>
  </si>
  <si>
    <t>1115011</t>
  </si>
  <si>
    <t>1500000</t>
  </si>
  <si>
    <t>1510000</t>
  </si>
  <si>
    <t>1510180</t>
  </si>
  <si>
    <t>1511060</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</si>
  <si>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</si>
  <si>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t>
  </si>
  <si>
    <t>2010</t>
  </si>
  <si>
    <t>0731</t>
  </si>
  <si>
    <t>Багатопрофільна стаціонарна медична допомога населенню</t>
  </si>
  <si>
    <t>2140</t>
  </si>
  <si>
    <t>0722</t>
  </si>
  <si>
    <t>Надання стоматологічної допомоги населенню</t>
  </si>
  <si>
    <t>3010</t>
  </si>
  <si>
    <t>1513010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</si>
  <si>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</si>
  <si>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</si>
  <si>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1513011</t>
  </si>
  <si>
    <t>3020</t>
  </si>
  <si>
    <t>1513020</t>
  </si>
  <si>
    <t>Надання пільг та субсидій населенню на придбання твердого та рідкого пічного побутового палива і скрапленого газу</t>
  </si>
  <si>
    <t>3021</t>
  </si>
  <si>
    <t>1513021</t>
  </si>
  <si>
    <t>3030</t>
  </si>
  <si>
    <t>1513030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</si>
  <si>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</si>
  <si>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1513031</t>
  </si>
  <si>
    <t>3031</t>
  </si>
  <si>
    <t>1513012</t>
  </si>
  <si>
    <t>3012</t>
  </si>
  <si>
    <t>3013</t>
  </si>
  <si>
    <t>1513013</t>
  </si>
  <si>
    <t>1070</t>
  </si>
  <si>
    <t>1513023</t>
  </si>
  <si>
    <t>3023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</si>
  <si>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</si>
  <si>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</si>
  <si>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</si>
  <si>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3014</t>
  </si>
  <si>
    <t>1513014</t>
  </si>
  <si>
    <t>3024</t>
  </si>
  <si>
    <t>1513024</t>
  </si>
  <si>
    <t>1513034</t>
  </si>
  <si>
    <t>3034</t>
  </si>
  <si>
    <t>Надання пільг окремим категоріям громадян з оплати послуг зв'язку</t>
  </si>
  <si>
    <t>1513015</t>
  </si>
  <si>
    <t>3015</t>
  </si>
  <si>
    <t>Надання пільг багатодітним сім'ям на житлово-комунальні послуги</t>
  </si>
  <si>
    <t>1513025</t>
  </si>
  <si>
    <t>3025</t>
  </si>
  <si>
    <t>Надання пільг багатодітним сім'ям на придбання твердого палива та скрапленого газу</t>
  </si>
  <si>
    <t>1513040</t>
  </si>
  <si>
    <t>3040</t>
  </si>
  <si>
    <t>Надання допомоги сім'ям з дітьми, малозабезпеченим сім'ям, інвалідам з дитинства, дітям-інвалідам та тимчасової допомоги дітям</t>
  </si>
  <si>
    <t>1513041</t>
  </si>
  <si>
    <t>3041</t>
  </si>
  <si>
    <t>Надання допомоги у зв`язку з вагітністю і пологами </t>
  </si>
  <si>
    <t>1513042</t>
  </si>
  <si>
    <t>3042</t>
  </si>
  <si>
    <t>Надання допомоги на догляд за дитиною віком до 3 років </t>
  </si>
  <si>
    <t>1513043</t>
  </si>
  <si>
    <t>3043</t>
  </si>
  <si>
    <t>Надання допомоги при народженні дитини </t>
  </si>
  <si>
    <t>1513044</t>
  </si>
  <si>
    <t>3044</t>
  </si>
  <si>
    <t>Надання допомоги на дітей, над якими встановлено опіку чи піклування </t>
  </si>
  <si>
    <t>1513046</t>
  </si>
  <si>
    <t>3046</t>
  </si>
  <si>
    <t>Надання допомоги на дітей одиноким матерям </t>
  </si>
  <si>
    <t>3045</t>
  </si>
  <si>
    <t>1513045</t>
  </si>
  <si>
    <t>Надання тимчасовох  державної допомоги  дітям </t>
  </si>
  <si>
    <t>1513047</t>
  </si>
  <si>
    <t>3047</t>
  </si>
  <si>
    <t>Надання допомоги при усиновленні дитини </t>
  </si>
  <si>
    <t>1513048</t>
  </si>
  <si>
    <t>3048</t>
  </si>
  <si>
    <t>Надання державної  соціальної  допомоги  малозабезпеченим сім`ям </t>
  </si>
  <si>
    <t>3016</t>
  </si>
  <si>
    <t>1513016</t>
  </si>
  <si>
    <t>Надання субсидій населенню для відшкодування витрат на оплату житлово-комунальних послуг</t>
  </si>
  <si>
    <t>1513026</t>
  </si>
  <si>
    <t>3026</t>
  </si>
  <si>
    <t>Надання субсидій населенню для відшкодування витрат на придбання твердого та рідкого пічного побутового палива і скрапленого газу</t>
  </si>
  <si>
    <t>1513017</t>
  </si>
  <si>
    <t>3017</t>
  </si>
  <si>
    <t>Компенсація населенню додаткових витрат на оплату послуг газопостачання, центрального опалення та централізованого постачання гарячої води</t>
  </si>
  <si>
    <t>1513400</t>
  </si>
  <si>
    <t>1513028</t>
  </si>
  <si>
    <t>3028</t>
  </si>
  <si>
    <t>1513130</t>
  </si>
  <si>
    <t>3131</t>
  </si>
  <si>
    <t>Центри соціальних служб для сім'ї, дітей та молоді</t>
  </si>
  <si>
    <t>1513131</t>
  </si>
  <si>
    <t>1513132</t>
  </si>
  <si>
    <t>3132</t>
  </si>
  <si>
    <t>Програми і заходи центрів соціальних служб для сім'ї, дітей та молоді</t>
  </si>
  <si>
    <t>1513100</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</si>
  <si>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</si>
  <si>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</si>
  <si>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1513104</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</si>
  <si>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</si>
  <si>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</si>
  <si>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1513180</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</si>
  <si>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</si>
  <si>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</si>
  <si>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1513181</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</si>
  <si>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</si>
  <si>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</si>
  <si>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1513190</t>
  </si>
  <si>
    <t>3190</t>
  </si>
  <si>
    <t>3200</t>
  </si>
  <si>
    <t>1513200</t>
  </si>
  <si>
    <t>Соціальний захист ветеранів війни та праці</t>
  </si>
  <si>
    <t>1513202</t>
  </si>
  <si>
    <t>3202</t>
  </si>
  <si>
    <t>Надання фінансової підтримки громадським організаціям інвалідів і ветеранів, діяльність яких має соціальну спрямованість</t>
  </si>
  <si>
    <t>1513049</t>
  </si>
  <si>
    <t>3049</t>
  </si>
  <si>
    <t>Надання державної соціальної допомоги інвалідам з дитинства та дітям-інвалідам</t>
  </si>
  <si>
    <t>1513035</t>
  </si>
  <si>
    <t>3035</t>
  </si>
  <si>
    <t>Компенсаційні виплати на пільговий проїзд автомобільним транспортом окремим категоріям громадян</t>
  </si>
  <si>
    <t>1518600</t>
  </si>
  <si>
    <t>2000000</t>
  </si>
  <si>
    <t>2010000</t>
  </si>
  <si>
    <t>2010180</t>
  </si>
  <si>
    <t>2013110</t>
  </si>
  <si>
    <t>3110</t>
  </si>
  <si>
    <t>Заклади і заходи з питань дітей та їх соціального захисту</t>
  </si>
  <si>
    <t>2013112</t>
  </si>
  <si>
    <t>3112</t>
  </si>
  <si>
    <t>2013160</t>
  </si>
  <si>
    <t>2400000</t>
  </si>
  <si>
    <t>2410000</t>
  </si>
  <si>
    <t>2410180</t>
  </si>
  <si>
    <t>2414060</t>
  </si>
  <si>
    <t>4060</t>
  </si>
  <si>
    <t>2414070</t>
  </si>
  <si>
    <t>4070</t>
  </si>
  <si>
    <t>0824</t>
  </si>
  <si>
    <t>2414090</t>
  </si>
  <si>
    <t>4090</t>
  </si>
  <si>
    <t>0828</t>
  </si>
  <si>
    <t>2414100</t>
  </si>
  <si>
    <t>4100</t>
  </si>
  <si>
    <t>2414200</t>
  </si>
  <si>
    <t>4200</t>
  </si>
  <si>
    <t>0829</t>
  </si>
  <si>
    <t>4000000</t>
  </si>
  <si>
    <t>4010000</t>
  </si>
  <si>
    <t>4010180</t>
  </si>
  <si>
    <t>4016010</t>
  </si>
  <si>
    <t>6010</t>
  </si>
  <si>
    <t>0610</t>
  </si>
  <si>
    <t>Забезпечення надійного та безперебійного функціонування житлово-експлуатаційного господарства</t>
  </si>
  <si>
    <t>4016020</t>
  </si>
  <si>
    <t>6020</t>
  </si>
  <si>
    <t>Капітальний ремонт об'єктів житлового господарства</t>
  </si>
  <si>
    <t>4016021</t>
  </si>
  <si>
    <t>6021</t>
  </si>
  <si>
    <t>4016030</t>
  </si>
  <si>
    <t>6030</t>
  </si>
  <si>
    <t>4016050</t>
  </si>
  <si>
    <t>6050</t>
  </si>
  <si>
    <t>Фінансова підтримка об'єктів комунального господарства</t>
  </si>
  <si>
    <t>4016051</t>
  </si>
  <si>
    <t>6051</t>
  </si>
  <si>
    <t>4016052</t>
  </si>
  <si>
    <t>6052</t>
  </si>
  <si>
    <t>4016060</t>
  </si>
  <si>
    <t>4016650</t>
  </si>
  <si>
    <t>6650</t>
  </si>
  <si>
    <t>0456</t>
  </si>
  <si>
    <t>Забезпечення функціонування теплових мереж</t>
  </si>
  <si>
    <t>Забезпечення функціонування водопровідно-каналізаційного господарства</t>
  </si>
  <si>
    <t>Утримання та розвиток інфраструктури доріг</t>
  </si>
  <si>
    <t>4017500</t>
  </si>
  <si>
    <t>4019140</t>
  </si>
  <si>
    <t>9140</t>
  </si>
  <si>
    <t>0540</t>
  </si>
  <si>
    <t>4018600</t>
  </si>
  <si>
    <t>4019180</t>
  </si>
  <si>
    <t>9180</t>
  </si>
  <si>
    <t>Цільові фонди, утворені Верховною Радою Автономної Республіки Крим, органами місцевого самоврядування і місцевими органами виконавчої влади</t>
  </si>
  <si>
    <t>4500000</t>
  </si>
  <si>
    <t>4510000</t>
  </si>
  <si>
    <t>4510180</t>
  </si>
  <si>
    <t>4516310</t>
  </si>
  <si>
    <t>4517500</t>
  </si>
  <si>
    <t xml:space="preserve">Інші заходи, пов'язані з економічною діяльністью </t>
  </si>
  <si>
    <t>4518600</t>
  </si>
  <si>
    <t>4700000</t>
  </si>
  <si>
    <t>4710000</t>
  </si>
  <si>
    <t>4710180</t>
  </si>
  <si>
    <t>4716090</t>
  </si>
  <si>
    <t>6090</t>
  </si>
  <si>
    <t>0511</t>
  </si>
  <si>
    <t>Забезпечення проведення берегоукріплювальних робіт</t>
  </si>
  <si>
    <t>4716310</t>
  </si>
  <si>
    <t>6324</t>
  </si>
  <si>
    <t>4716320</t>
  </si>
  <si>
    <t>6320</t>
  </si>
  <si>
    <t>Надання допомоги у вирішенні житлових питань</t>
  </si>
  <si>
    <t>4716324</t>
  </si>
  <si>
    <t>4716430</t>
  </si>
  <si>
    <t>6430</t>
  </si>
  <si>
    <t>0443</t>
  </si>
  <si>
    <t>4719140</t>
  </si>
  <si>
    <t>4719180</t>
  </si>
  <si>
    <t>4800000</t>
  </si>
  <si>
    <t>4810000</t>
  </si>
  <si>
    <t>4810180</t>
  </si>
  <si>
    <t>4818600</t>
  </si>
  <si>
    <t>7500000</t>
  </si>
  <si>
    <t>7510000</t>
  </si>
  <si>
    <t>7510180</t>
  </si>
  <si>
    <t>01330</t>
  </si>
  <si>
    <t>7600000</t>
  </si>
  <si>
    <t>7610000</t>
  </si>
  <si>
    <t>8010</t>
  </si>
  <si>
    <t>7618010</t>
  </si>
  <si>
    <t>8120</t>
  </si>
  <si>
    <t>7618120</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</si>
  <si>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</si>
  <si>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</si>
  <si>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</si>
  <si>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Фінансова підтримка об'єктів житлово-комунального господарства</t>
  </si>
  <si>
    <t>Проведення навчально-тренувальних зборів і змагань з олімпійських видів спорту</t>
  </si>
  <si>
    <t>4016310</t>
  </si>
  <si>
    <t>Заходи державної політики з питань дітей та їх соціального захисту</t>
  </si>
  <si>
    <t>Будівництво та придбання житла для окремих категорій населення</t>
  </si>
  <si>
    <t>1115012</t>
  </si>
  <si>
    <t>5012</t>
  </si>
  <si>
    <t>Проведення навчально-тренувальних зборів і змагань з неолімпійських видів спорту</t>
  </si>
  <si>
    <t xml:space="preserve">Капітальний ремонт житлового фонду </t>
  </si>
  <si>
    <t>1011070</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</si>
  <si>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</si>
  <si>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0312010</t>
  </si>
  <si>
    <t>0312140</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</si>
  <si>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</si>
  <si>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</si>
  <si>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</si>
  <si>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</si>
  <si>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</si>
  <si>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</si>
  <si>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 xml:space="preserve">Бюджетні призначення головним розпорядникам коштів бюджету міста Чорноморська  на 2017 рік у розрізі відповідальних виконавців за бюджетними програмами </t>
  </si>
  <si>
    <t>до  рішення Чорноморської міської ради</t>
  </si>
  <si>
    <t>Секретар ради</t>
  </si>
  <si>
    <t>О. Р. Боровська</t>
  </si>
  <si>
    <t>від  25.11.2016 р. №    157- VII</t>
  </si>
  <si>
    <t>4017410</t>
  </si>
  <si>
    <t>7518600</t>
  </si>
  <si>
    <t>1015031</t>
  </si>
  <si>
    <t>5031</t>
  </si>
  <si>
    <t>Розвиток дитячо-юнацького та резервного спорту</t>
  </si>
  <si>
    <t>1015030</t>
  </si>
  <si>
    <t>5030</t>
  </si>
  <si>
    <t>1513033</t>
  </si>
  <si>
    <t>1113143</t>
  </si>
  <si>
    <t>3143</t>
  </si>
  <si>
    <t>Інші заходи та заклади молодіжної політики</t>
  </si>
  <si>
    <t>Реалізація державної політики у молодіжній сфері</t>
  </si>
  <si>
    <t>1115061</t>
  </si>
  <si>
    <t>5061</t>
  </si>
  <si>
    <t>Забезпечення діяльності місцевих центрів фізичного здоров я населення "Спорт для всіх" та проведення фізкультурно-масових заходів серед населення регіону</t>
  </si>
  <si>
    <t>1115060</t>
  </si>
  <si>
    <t>5060</t>
  </si>
  <si>
    <t>Інші заходи з розвитку фізичної культури та спорту</t>
  </si>
  <si>
    <t>8370</t>
  </si>
  <si>
    <t>7618370</t>
  </si>
  <si>
    <t xml:space="preserve">Зміни та доповнення до бюджетних призначень головним розпорядникам коштів бюджету міста Чорноморська  на 2017 рік у розрізі відповідальних виконавців за бюджетними програмами </t>
  </si>
  <si>
    <t>0316430</t>
  </si>
  <si>
    <t>0319140</t>
  </si>
  <si>
    <t>фінансова підтримка  комунальному підприємству "Зеленгосп"</t>
  </si>
  <si>
    <t>7612</t>
  </si>
  <si>
    <t>Охорона і раціональне використання земель</t>
  </si>
  <si>
    <t>4517612</t>
  </si>
  <si>
    <t>Міська цільова програма підтримки Чорноморського міського військового комісаріату,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2017 рік</t>
  </si>
  <si>
    <t>Міська програма удосконалення казначейського обслуговування міського бюджету м. Чорноморська та забезпечення матеріально-технічної бази Управління Державної казначейської служби України у м. Чорноморську  Одеської області для обслуговування розпорядників та одержувачів бюджетних коштів на 2016 - 2017 роки</t>
  </si>
  <si>
    <t>Міська програма протидії злочинності та посилення громадської безпеки на території міста Чорноморська на 2016 - 2018 роки</t>
  </si>
  <si>
    <t>1018600</t>
  </si>
  <si>
    <t>1513080</t>
  </si>
  <si>
    <t>3080</t>
  </si>
  <si>
    <t>Надання допомоги на догляд за інвалідом І чи ІІ групи внаслідок психічного розладу</t>
  </si>
  <si>
    <t>4017470</t>
  </si>
  <si>
    <t>7470</t>
  </si>
  <si>
    <t>Внески органів влади Автономної Республіки Крим та органів місцевого самоврядування у статутні фонди суб`єктів підприємницької діяльності</t>
  </si>
  <si>
    <t>Субвенція з місцевого бюджету державному бюджету на виконання програм соціально - економічного та культурного розвитку регіонів</t>
  </si>
  <si>
    <t>Додаток № 3</t>
  </si>
  <si>
    <t>Міська цільова соціальна програма  розвитку цивільного захисту на 2016 – 2020 роки</t>
  </si>
  <si>
    <t>4016022</t>
  </si>
  <si>
    <t>6022</t>
  </si>
  <si>
    <t>Капітальний ремонт житлового фонду об'єднань співвласників багатоквартирних будинків</t>
  </si>
  <si>
    <t>4017310</t>
  </si>
  <si>
    <t>7310</t>
  </si>
  <si>
    <t>Субвенція з місцевого бюджету державному бюджету на виконання програм соціально-економічного та культурного розвитку регіонів, в тому числі:</t>
  </si>
  <si>
    <t>0421</t>
  </si>
  <si>
    <t>проверка</t>
  </si>
  <si>
    <t>Капітальний ремонт житлового фонду об'єднань співвласників багатокартиних будинків</t>
  </si>
  <si>
    <t>Проведення захлдів з землеустрою</t>
  </si>
  <si>
    <t>Міська програма підтримки і розвитку навчально-матеріальної бази   та соціального захисту студентів Чорноморського морського коледжу Одеського національного морського університету на 2017 рік</t>
  </si>
  <si>
    <t>від 16.06.2017р. №  232-VII</t>
  </si>
  <si>
    <t>О.Р.Боровська</t>
  </si>
  <si>
    <t>до рішення Чорноморської міської ради</t>
  </si>
</sst>
</file>

<file path=xl/styles.xml><?xml version="1.0" encoding="utf-8"?>
<styleSheet xmlns="http://schemas.openxmlformats.org/spreadsheetml/2006/main">
  <numFmts count="3">
    <numFmt numFmtId="164" formatCode="#,##0.000"/>
    <numFmt numFmtId="165" formatCode="#,##0.00000"/>
    <numFmt numFmtId="166" formatCode="#,##0.0000000"/>
  </numFmts>
  <fonts count="23">
    <font>
      <sz val="11"/>
      <color theme="1"/>
      <name val="Calibri"/>
      <family val="2"/>
      <charset val="204"/>
      <scheme val="minor"/>
    </font>
    <font>
      <sz val="11"/>
      <color indexed="8"/>
      <name val="Calibri"/>
      <family val="2"/>
      <charset val="204"/>
    </font>
    <font>
      <sz val="11"/>
      <name val="Times New Roman"/>
      <family val="1"/>
      <charset val="204"/>
    </font>
    <font>
      <sz val="10"/>
      <name val="Times New Roman"/>
      <family val="1"/>
      <charset val="204"/>
    </font>
    <font>
      <sz val="8"/>
      <name val="Times New Roman"/>
      <family val="1"/>
      <charset val="204"/>
    </font>
    <font>
      <sz val="12"/>
      <name val="Times New Roman"/>
      <family val="1"/>
      <charset val="204"/>
    </font>
    <font>
      <i/>
      <sz val="11"/>
      <name val="Times New Roman"/>
      <family val="1"/>
      <charset val="204"/>
    </font>
    <font>
      <b/>
      <sz val="11"/>
      <name val="Times New Roman"/>
      <family val="1"/>
      <charset val="204"/>
    </font>
    <font>
      <sz val="7"/>
      <name val="Times New Roman"/>
      <family val="1"/>
      <charset val="204"/>
    </font>
    <font>
      <b/>
      <sz val="11"/>
      <name val="Calibri"/>
      <family val="2"/>
      <charset val="204"/>
    </font>
    <font>
      <i/>
      <sz val="11"/>
      <name val="Calibri"/>
      <family val="2"/>
      <charset val="204"/>
    </font>
    <font>
      <i/>
      <sz val="12"/>
      <name val="Times New Roman"/>
      <family val="1"/>
      <charset val="204"/>
    </font>
    <font>
      <b/>
      <sz val="12"/>
      <name val="Times New Roman"/>
      <family val="1"/>
      <charset val="204"/>
    </font>
    <font>
      <sz val="12"/>
      <name val="Calibri"/>
      <family val="2"/>
      <charset val="204"/>
    </font>
    <font>
      <sz val="11"/>
      <name val="Calibri"/>
      <family val="2"/>
      <charset val="204"/>
    </font>
    <font>
      <b/>
      <sz val="16"/>
      <name val="Times New Roman"/>
      <family val="1"/>
      <charset val="204"/>
    </font>
    <font>
      <b/>
      <i/>
      <sz val="11"/>
      <name val="Times New Roman"/>
      <family val="1"/>
      <charset val="204"/>
    </font>
    <font>
      <sz val="12"/>
      <color indexed="8"/>
      <name val="Times New Roman"/>
      <family val="1"/>
      <charset val="204"/>
    </font>
    <font>
      <sz val="14"/>
      <name val="Times New Roman"/>
      <family val="1"/>
      <charset val="204"/>
    </font>
    <font>
      <i/>
      <sz val="12"/>
      <color indexed="8"/>
      <name val="Times New Roman"/>
      <family val="1"/>
      <charset val="204"/>
    </font>
    <font>
      <sz val="11"/>
      <name val="Calibri"/>
      <family val="2"/>
      <charset val="204"/>
      <scheme val="minor"/>
    </font>
    <font>
      <i/>
      <sz val="11"/>
      <name val="Calibri"/>
      <family val="2"/>
      <charset val="204"/>
      <scheme val="minor"/>
    </font>
    <font>
      <sz val="11"/>
      <color rgb="FF0000FF"/>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27"/>
        <bgColor indexed="64"/>
      </patternFill>
    </fill>
    <fill>
      <patternFill patternType="solid">
        <fgColor indexed="5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1" fillId="0" borderId="0"/>
  </cellStyleXfs>
  <cellXfs count="175">
    <xf numFmtId="0" fontId="0" fillId="0" borderId="0" xfId="0"/>
    <xf numFmtId="0" fontId="2" fillId="2" borderId="1" xfId="1" applyFont="1" applyFill="1" applyBorder="1" applyAlignment="1">
      <alignment vertical="top" wrapText="1"/>
    </xf>
    <xf numFmtId="0" fontId="5" fillId="0" borderId="1" xfId="0" applyFont="1" applyBorder="1" applyAlignment="1">
      <alignment wrapText="1"/>
    </xf>
    <xf numFmtId="49" fontId="2" fillId="2" borderId="0" xfId="0" applyNumberFormat="1" applyFont="1" applyFill="1"/>
    <xf numFmtId="0" fontId="2" fillId="2" borderId="0" xfId="0" applyFont="1" applyFill="1"/>
    <xf numFmtId="0" fontId="2" fillId="2" borderId="0" xfId="0" applyFont="1" applyFill="1" applyAlignment="1">
      <alignment horizontal="center"/>
    </xf>
    <xf numFmtId="0" fontId="20" fillId="0" borderId="0" xfId="0" applyFont="1"/>
    <xf numFmtId="0" fontId="2" fillId="2" borderId="0" xfId="0" applyFont="1" applyFill="1" applyAlignment="1">
      <alignment horizontal="left"/>
    </xf>
    <xf numFmtId="0" fontId="2" fillId="2" borderId="0" xfId="2" applyFont="1" applyFill="1"/>
    <xf numFmtId="0" fontId="2" fillId="2" borderId="0" xfId="2" applyFont="1" applyFill="1" applyAlignment="1">
      <alignment horizontal="right"/>
    </xf>
    <xf numFmtId="0" fontId="8" fillId="0" borderId="1" xfId="2" applyFont="1" applyBorder="1" applyAlignment="1">
      <alignment horizontal="center" vertical="center" wrapText="1"/>
    </xf>
    <xf numFmtId="49" fontId="2"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0" fontId="7" fillId="2" borderId="1" xfId="2" applyFont="1" applyFill="1" applyBorder="1" applyAlignment="1">
      <alignment horizontal="center" vertical="center" wrapText="1"/>
    </xf>
    <xf numFmtId="0" fontId="9" fillId="2" borderId="0" xfId="0" applyFont="1" applyFill="1"/>
    <xf numFmtId="0" fontId="20" fillId="2" borderId="0" xfId="0" applyFont="1" applyFill="1"/>
    <xf numFmtId="0" fontId="2" fillId="2" borderId="1" xfId="2" applyFont="1" applyFill="1" applyBorder="1" applyAlignment="1">
      <alignment vertical="center" wrapText="1"/>
    </xf>
    <xf numFmtId="164" fontId="20" fillId="2" borderId="0" xfId="0" applyNumberFormat="1" applyFont="1" applyFill="1"/>
    <xf numFmtId="0" fontId="5" fillId="2" borderId="0" xfId="0" applyFont="1" applyFill="1" applyAlignment="1">
      <alignment wrapText="1"/>
    </xf>
    <xf numFmtId="0" fontId="5" fillId="2" borderId="1" xfId="0" applyFont="1" applyFill="1" applyBorder="1" applyAlignment="1">
      <alignment wrapText="1"/>
    </xf>
    <xf numFmtId="0" fontId="2" fillId="0" borderId="1" xfId="2" applyFont="1" applyBorder="1" applyAlignment="1">
      <alignment vertical="center" wrapText="1"/>
    </xf>
    <xf numFmtId="49" fontId="6" fillId="2" borderId="1" xfId="0" applyNumberFormat="1" applyFont="1" applyFill="1" applyBorder="1" applyAlignment="1">
      <alignment horizontal="center" vertical="center"/>
    </xf>
    <xf numFmtId="0" fontId="7" fillId="0" borderId="1" xfId="2" applyFont="1" applyBorder="1" applyAlignment="1">
      <alignment horizontal="center" vertical="center" wrapText="1"/>
    </xf>
    <xf numFmtId="0" fontId="9" fillId="0" borderId="0" xfId="0" applyFont="1"/>
    <xf numFmtId="0" fontId="2" fillId="2" borderId="1" xfId="0" applyFont="1" applyFill="1" applyBorder="1" applyAlignment="1">
      <alignment vertical="center" wrapText="1"/>
    </xf>
    <xf numFmtId="164" fontId="2" fillId="2" borderId="1" xfId="0" applyNumberFormat="1" applyFont="1" applyFill="1" applyBorder="1" applyAlignment="1">
      <alignment horizontal="center"/>
    </xf>
    <xf numFmtId="0" fontId="11" fillId="2" borderId="1" xfId="0" applyFont="1" applyFill="1" applyBorder="1" applyAlignment="1">
      <alignment wrapText="1"/>
    </xf>
    <xf numFmtId="164" fontId="7" fillId="2" borderId="1" xfId="0" applyNumberFormat="1" applyFont="1" applyFill="1" applyBorder="1" applyAlignment="1">
      <alignment horizontal="center"/>
    </xf>
    <xf numFmtId="0" fontId="5" fillId="2" borderId="1" xfId="2" applyFont="1" applyFill="1" applyBorder="1" applyAlignment="1">
      <alignment vertical="center" wrapText="1"/>
    </xf>
    <xf numFmtId="49" fontId="7" fillId="6" borderId="1" xfId="0" applyNumberFormat="1" applyFont="1" applyFill="1" applyBorder="1" applyAlignment="1">
      <alignment horizontal="center" vertical="center"/>
    </xf>
    <xf numFmtId="0" fontId="11" fillId="2" borderId="0" xfId="0" applyFont="1" applyFill="1" applyAlignment="1">
      <alignment wrapText="1"/>
    </xf>
    <xf numFmtId="164" fontId="2" fillId="0" borderId="1" xfId="0" applyNumberFormat="1" applyFont="1" applyBorder="1" applyAlignment="1">
      <alignment horizontal="center"/>
    </xf>
    <xf numFmtId="164" fontId="2" fillId="4" borderId="1" xfId="0" applyNumberFormat="1" applyFont="1" applyFill="1" applyBorder="1" applyAlignment="1">
      <alignment horizontal="center"/>
    </xf>
    <xf numFmtId="0" fontId="2" fillId="0" borderId="1" xfId="0" applyFont="1" applyBorder="1" applyAlignment="1">
      <alignment vertical="center" wrapText="1"/>
    </xf>
    <xf numFmtId="164" fontId="7" fillId="0" borderId="1" xfId="0" applyNumberFormat="1" applyFont="1" applyBorder="1" applyAlignment="1">
      <alignment horizontal="center"/>
    </xf>
    <xf numFmtId="49" fontId="2" fillId="4" borderId="1" xfId="0" applyNumberFormat="1" applyFont="1" applyFill="1" applyBorder="1" applyAlignment="1">
      <alignment horizontal="center" vertical="center"/>
    </xf>
    <xf numFmtId="0" fontId="7" fillId="4" borderId="1" xfId="2" applyFont="1" applyFill="1" applyBorder="1"/>
    <xf numFmtId="164" fontId="7" fillId="4" borderId="1" xfId="2" applyNumberFormat="1" applyFont="1" applyFill="1" applyBorder="1" applyAlignment="1">
      <alignment horizontal="center"/>
    </xf>
    <xf numFmtId="49" fontId="2" fillId="5" borderId="0" xfId="0" applyNumberFormat="1" applyFont="1" applyFill="1"/>
    <xf numFmtId="164" fontId="20" fillId="0" borderId="0" xfId="0" applyNumberFormat="1" applyFont="1"/>
    <xf numFmtId="49" fontId="2" fillId="6" borderId="1" xfId="0" applyNumberFormat="1" applyFont="1" applyFill="1" applyBorder="1" applyAlignment="1">
      <alignment horizontal="center" vertical="center"/>
    </xf>
    <xf numFmtId="0" fontId="2" fillId="6" borderId="1" xfId="0" applyFont="1" applyFill="1" applyBorder="1" applyAlignment="1">
      <alignment vertical="top" wrapText="1"/>
    </xf>
    <xf numFmtId="164" fontId="2" fillId="6" borderId="1" xfId="2" applyNumberFormat="1" applyFont="1" applyFill="1" applyBorder="1" applyAlignment="1">
      <alignment horizontal="center" vertical="center"/>
    </xf>
    <xf numFmtId="0" fontId="20" fillId="6" borderId="0" xfId="0" applyFont="1" applyFill="1"/>
    <xf numFmtId="165" fontId="7" fillId="4" borderId="1" xfId="2" applyNumberFormat="1" applyFont="1" applyFill="1" applyBorder="1" applyAlignment="1">
      <alignment horizontal="center"/>
    </xf>
    <xf numFmtId="0" fontId="5" fillId="6" borderId="1" xfId="0" applyFont="1" applyFill="1" applyBorder="1" applyAlignment="1">
      <alignment wrapText="1"/>
    </xf>
    <xf numFmtId="49" fontId="6" fillId="6" borderId="1" xfId="0" applyNumberFormat="1" applyFont="1" applyFill="1" applyBorder="1" applyAlignment="1">
      <alignment horizontal="center" vertical="center"/>
    </xf>
    <xf numFmtId="0" fontId="11" fillId="6" borderId="1" xfId="0" applyFont="1" applyFill="1" applyBorder="1" applyAlignment="1">
      <alignment wrapText="1"/>
    </xf>
    <xf numFmtId="164" fontId="6" fillId="6" borderId="1" xfId="0" applyNumberFormat="1" applyFont="1" applyFill="1" applyBorder="1" applyAlignment="1">
      <alignment horizontal="center"/>
    </xf>
    <xf numFmtId="0" fontId="2" fillId="6" borderId="1" xfId="1" applyFont="1" applyFill="1" applyBorder="1" applyAlignment="1">
      <alignment vertical="top" wrapText="1"/>
    </xf>
    <xf numFmtId="164" fontId="7" fillId="6" borderId="1" xfId="2" applyNumberFormat="1" applyFont="1" applyFill="1" applyBorder="1" applyAlignment="1">
      <alignment horizontal="center" vertical="center"/>
    </xf>
    <xf numFmtId="164" fontId="6" fillId="6" borderId="1" xfId="2" applyNumberFormat="1" applyFont="1" applyFill="1" applyBorder="1" applyAlignment="1">
      <alignment horizontal="center" vertical="center"/>
    </xf>
    <xf numFmtId="0" fontId="6" fillId="6" borderId="1" xfId="2" applyFont="1" applyFill="1" applyBorder="1" applyAlignment="1">
      <alignment vertical="center" wrapText="1"/>
    </xf>
    <xf numFmtId="0" fontId="2" fillId="0" borderId="1" xfId="2" applyFont="1" applyBorder="1" applyAlignment="1">
      <alignment horizontal="center" vertical="center" wrapText="1"/>
    </xf>
    <xf numFmtId="0" fontId="2" fillId="3" borderId="1" xfId="2" applyFont="1" applyFill="1" applyBorder="1" applyAlignment="1">
      <alignment horizontal="center" vertical="center" wrapText="1"/>
    </xf>
    <xf numFmtId="0" fontId="17" fillId="0" borderId="1" xfId="0" applyFont="1" applyBorder="1" applyAlignment="1">
      <alignment vertical="center" wrapText="1"/>
    </xf>
    <xf numFmtId="49" fontId="2" fillId="2" borderId="1" xfId="0" applyNumberFormat="1" applyFont="1" applyFill="1" applyBorder="1" applyAlignment="1">
      <alignment horizontal="center"/>
    </xf>
    <xf numFmtId="0" fontId="2" fillId="0" borderId="1" xfId="2" applyFont="1" applyBorder="1" applyAlignment="1">
      <alignment wrapText="1"/>
    </xf>
    <xf numFmtId="164" fontId="2" fillId="0" borderId="1" xfId="2" applyNumberFormat="1" applyFont="1" applyBorder="1" applyAlignment="1">
      <alignment horizontal="center"/>
    </xf>
    <xf numFmtId="164" fontId="7" fillId="2" borderId="1" xfId="2" applyNumberFormat="1" applyFont="1" applyFill="1" applyBorder="1" applyAlignment="1">
      <alignment horizontal="center" wrapText="1"/>
    </xf>
    <xf numFmtId="164" fontId="7" fillId="2" borderId="1" xfId="2" applyNumberFormat="1" applyFont="1" applyFill="1" applyBorder="1" applyAlignment="1">
      <alignment horizontal="center"/>
    </xf>
    <xf numFmtId="164" fontId="2" fillId="2" borderId="1" xfId="2" applyNumberFormat="1" applyFont="1" applyFill="1" applyBorder="1" applyAlignment="1">
      <alignment horizontal="center"/>
    </xf>
    <xf numFmtId="164" fontId="2" fillId="4" borderId="1" xfId="2" applyNumberFormat="1" applyFont="1" applyFill="1" applyBorder="1" applyAlignment="1">
      <alignment horizontal="center"/>
    </xf>
    <xf numFmtId="164" fontId="2" fillId="3" borderId="1" xfId="2" applyNumberFormat="1" applyFont="1" applyFill="1" applyBorder="1" applyAlignment="1">
      <alignment horizontal="center"/>
    </xf>
    <xf numFmtId="164" fontId="7" fillId="0" borderId="1" xfId="2" applyNumberFormat="1" applyFont="1" applyBorder="1" applyAlignment="1">
      <alignment horizontal="center"/>
    </xf>
    <xf numFmtId="165" fontId="2" fillId="2" borderId="1" xfId="2" applyNumberFormat="1" applyFont="1" applyFill="1" applyBorder="1" applyAlignment="1">
      <alignment horizontal="center"/>
    </xf>
    <xf numFmtId="164" fontId="7" fillId="4" borderId="1" xfId="0" applyNumberFormat="1" applyFont="1" applyFill="1" applyBorder="1" applyAlignment="1">
      <alignment horizontal="center"/>
    </xf>
    <xf numFmtId="165" fontId="6" fillId="2" borderId="1" xfId="0" applyNumberFormat="1" applyFont="1" applyFill="1" applyBorder="1" applyAlignment="1">
      <alignment horizontal="center"/>
    </xf>
    <xf numFmtId="165" fontId="11" fillId="0" borderId="1" xfId="0" applyNumberFormat="1" applyFont="1" applyBorder="1" applyAlignment="1">
      <alignment horizontal="center" wrapText="1"/>
    </xf>
    <xf numFmtId="165" fontId="6" fillId="3" borderId="1" xfId="2" applyNumberFormat="1" applyFont="1" applyFill="1" applyBorder="1" applyAlignment="1">
      <alignment horizontal="center"/>
    </xf>
    <xf numFmtId="0" fontId="3" fillId="0" borderId="1" xfId="0" applyFont="1" applyBorder="1" applyAlignment="1">
      <alignment wrapText="1"/>
    </xf>
    <xf numFmtId="165" fontId="3" fillId="2" borderId="1" xfId="0" applyNumberFormat="1" applyFont="1" applyFill="1" applyBorder="1" applyAlignment="1">
      <alignment horizontal="center"/>
    </xf>
    <xf numFmtId="165" fontId="3" fillId="0" borderId="1" xfId="0" applyNumberFormat="1" applyFont="1" applyBorder="1" applyAlignment="1">
      <alignment horizontal="center" wrapText="1"/>
    </xf>
    <xf numFmtId="165" fontId="3" fillId="3" borderId="1" xfId="2" applyNumberFormat="1" applyFont="1" applyFill="1" applyBorder="1" applyAlignment="1">
      <alignment horizontal="center"/>
    </xf>
    <xf numFmtId="165" fontId="5" fillId="2" borderId="1" xfId="0" applyNumberFormat="1" applyFont="1" applyFill="1" applyBorder="1" applyAlignment="1">
      <alignment horizontal="center"/>
    </xf>
    <xf numFmtId="165" fontId="5" fillId="0" borderId="1" xfId="0" applyNumberFormat="1" applyFont="1" applyBorder="1" applyAlignment="1">
      <alignment horizontal="center" wrapText="1"/>
    </xf>
    <xf numFmtId="165" fontId="5" fillId="3" borderId="1" xfId="2" applyNumberFormat="1" applyFont="1" applyFill="1" applyBorder="1" applyAlignment="1">
      <alignment horizontal="center"/>
    </xf>
    <xf numFmtId="165" fontId="7" fillId="0" borderId="1" xfId="2" applyNumberFormat="1" applyFont="1" applyBorder="1" applyAlignment="1">
      <alignment horizontal="center"/>
    </xf>
    <xf numFmtId="0" fontId="2" fillId="0" borderId="0" xfId="0" applyFont="1" applyAlignment="1">
      <alignment horizontal="center" vertical="center"/>
    </xf>
    <xf numFmtId="165" fontId="2" fillId="0" borderId="1" xfId="2" applyNumberFormat="1" applyFont="1" applyBorder="1" applyAlignment="1">
      <alignment horizontal="center"/>
    </xf>
    <xf numFmtId="0" fontId="2" fillId="6" borderId="1" xfId="2" applyFont="1" applyFill="1" applyBorder="1" applyAlignment="1">
      <alignment vertical="center" wrapText="1"/>
    </xf>
    <xf numFmtId="164" fontId="20" fillId="6" borderId="0" xfId="0" applyNumberFormat="1" applyFont="1" applyFill="1"/>
    <xf numFmtId="0" fontId="5" fillId="6" borderId="0" xfId="0" applyFont="1" applyFill="1" applyAlignment="1">
      <alignment wrapText="1"/>
    </xf>
    <xf numFmtId="49" fontId="22" fillId="6" borderId="0" xfId="0" applyNumberFormat="1" applyFont="1" applyFill="1"/>
    <xf numFmtId="0" fontId="2" fillId="6" borderId="0" xfId="0" applyFont="1" applyFill="1"/>
    <xf numFmtId="0" fontId="2" fillId="6" borderId="0" xfId="0" applyFont="1" applyFill="1" applyAlignment="1">
      <alignment horizontal="center"/>
    </xf>
    <xf numFmtId="0" fontId="2" fillId="6" borderId="0" xfId="0" applyFont="1" applyFill="1" applyAlignment="1">
      <alignment horizontal="left"/>
    </xf>
    <xf numFmtId="49" fontId="2" fillId="6" borderId="0" xfId="0" applyNumberFormat="1" applyFont="1" applyFill="1"/>
    <xf numFmtId="0" fontId="2" fillId="6" borderId="0" xfId="2" applyFont="1" applyFill="1"/>
    <xf numFmtId="0" fontId="2" fillId="6" borderId="0" xfId="2" applyFont="1" applyFill="1" applyAlignment="1">
      <alignment horizontal="right"/>
    </xf>
    <xf numFmtId="0" fontId="2" fillId="6" borderId="1" xfId="2" applyFont="1" applyFill="1" applyBorder="1" applyAlignment="1">
      <alignment horizontal="center" vertical="center" wrapText="1"/>
    </xf>
    <xf numFmtId="0" fontId="8" fillId="6" borderId="1" xfId="2" applyFont="1" applyFill="1" applyBorder="1" applyAlignment="1">
      <alignment horizontal="center" vertical="center" wrapText="1"/>
    </xf>
    <xf numFmtId="0" fontId="7" fillId="6" borderId="1" xfId="2" applyFont="1" applyFill="1" applyBorder="1" applyAlignment="1">
      <alignment horizontal="center" vertical="center" wrapText="1"/>
    </xf>
    <xf numFmtId="164" fontId="7" fillId="6" borderId="1" xfId="2" applyNumberFormat="1" applyFont="1" applyFill="1" applyBorder="1" applyAlignment="1">
      <alignment horizontal="center" vertical="center" wrapText="1"/>
    </xf>
    <xf numFmtId="0" fontId="9" fillId="6" borderId="0" xfId="0" applyFont="1" applyFill="1"/>
    <xf numFmtId="0" fontId="10" fillId="6" borderId="0" xfId="0" applyFont="1" applyFill="1"/>
    <xf numFmtId="165" fontId="2" fillId="6" borderId="1" xfId="2" applyNumberFormat="1" applyFont="1" applyFill="1" applyBorder="1" applyAlignment="1">
      <alignment horizontal="center" vertical="center"/>
    </xf>
    <xf numFmtId="0" fontId="2" fillId="6" borderId="1" xfId="0" applyFont="1" applyFill="1" applyBorder="1" applyAlignment="1">
      <alignment vertical="center" wrapText="1"/>
    </xf>
    <xf numFmtId="164" fontId="2" fillId="6" borderId="1" xfId="0" applyNumberFormat="1" applyFont="1" applyFill="1" applyBorder="1" applyAlignment="1">
      <alignment horizontal="center"/>
    </xf>
    <xf numFmtId="0" fontId="6" fillId="6" borderId="1" xfId="0" applyFont="1" applyFill="1" applyBorder="1" applyAlignment="1">
      <alignment vertical="center" wrapText="1"/>
    </xf>
    <xf numFmtId="1" fontId="10" fillId="6" borderId="0" xfId="0" applyNumberFormat="1" applyFont="1" applyFill="1"/>
    <xf numFmtId="1" fontId="20" fillId="6" borderId="0" xfId="0" applyNumberFormat="1" applyFont="1" applyFill="1"/>
    <xf numFmtId="164" fontId="7" fillId="6" borderId="1" xfId="0" applyNumberFormat="1" applyFont="1" applyFill="1" applyBorder="1" applyAlignment="1">
      <alignment horizontal="center"/>
    </xf>
    <xf numFmtId="164" fontId="2" fillId="6" borderId="1" xfId="0" applyNumberFormat="1" applyFont="1" applyFill="1" applyBorder="1" applyAlignment="1">
      <alignment horizontal="center" vertical="center"/>
    </xf>
    <xf numFmtId="164" fontId="16" fillId="6" borderId="1" xfId="2" applyNumberFormat="1" applyFont="1" applyFill="1" applyBorder="1" applyAlignment="1">
      <alignment horizontal="center" vertical="center"/>
    </xf>
    <xf numFmtId="0" fontId="21" fillId="6" borderId="0" xfId="0" applyFont="1" applyFill="1"/>
    <xf numFmtId="0" fontId="5" fillId="6" borderId="0" xfId="0" applyFont="1" applyFill="1"/>
    <xf numFmtId="0" fontId="5" fillId="6" borderId="1" xfId="2" applyFont="1" applyFill="1" applyBorder="1" applyAlignment="1">
      <alignment vertical="center" wrapText="1"/>
    </xf>
    <xf numFmtId="0" fontId="11" fillId="6" borderId="0" xfId="0" applyFont="1" applyFill="1" applyAlignment="1">
      <alignment wrapText="1"/>
    </xf>
    <xf numFmtId="0" fontId="12" fillId="6" borderId="0" xfId="0" applyFont="1" applyFill="1" applyAlignment="1">
      <alignment wrapText="1"/>
    </xf>
    <xf numFmtId="0" fontId="12" fillId="6" borderId="1" xfId="0" applyFont="1" applyFill="1" applyBorder="1" applyAlignment="1">
      <alignment wrapText="1"/>
    </xf>
    <xf numFmtId="0" fontId="11" fillId="6" borderId="2" xfId="0" applyFont="1" applyFill="1" applyBorder="1" applyAlignment="1">
      <alignment vertical="top" wrapText="1"/>
    </xf>
    <xf numFmtId="164" fontId="7" fillId="6" borderId="1" xfId="0" applyNumberFormat="1" applyFont="1" applyFill="1" applyBorder="1" applyAlignment="1">
      <alignment horizontal="center" vertical="center"/>
    </xf>
    <xf numFmtId="0" fontId="5" fillId="6" borderId="1" xfId="0" applyFont="1" applyFill="1" applyBorder="1"/>
    <xf numFmtId="0" fontId="13" fillId="6" borderId="0" xfId="0" applyFont="1" applyFill="1"/>
    <xf numFmtId="0" fontId="7" fillId="6" borderId="1" xfId="2" applyFont="1" applyFill="1" applyBorder="1" applyAlignment="1">
      <alignment horizontal="left" vertical="center" wrapText="1"/>
    </xf>
    <xf numFmtId="0" fontId="19" fillId="6" borderId="1" xfId="0" applyFont="1" applyFill="1" applyBorder="1" applyAlignment="1">
      <alignment vertical="center" wrapText="1"/>
    </xf>
    <xf numFmtId="164" fontId="6" fillId="6" borderId="1" xfId="2" applyNumberFormat="1" applyFont="1" applyFill="1" applyBorder="1" applyAlignment="1">
      <alignment horizontal="center"/>
    </xf>
    <xf numFmtId="0" fontId="7" fillId="6" borderId="1" xfId="2" applyFont="1" applyFill="1" applyBorder="1"/>
    <xf numFmtId="165" fontId="7" fillId="6" borderId="1" xfId="2" applyNumberFormat="1" applyFont="1" applyFill="1" applyBorder="1" applyAlignment="1">
      <alignment horizontal="center"/>
    </xf>
    <xf numFmtId="164" fontId="7" fillId="6" borderId="1" xfId="2" applyNumberFormat="1" applyFont="1" applyFill="1" applyBorder="1" applyAlignment="1">
      <alignment horizontal="center"/>
    </xf>
    <xf numFmtId="165" fontId="7" fillId="6" borderId="1" xfId="2" applyNumberFormat="1" applyFont="1" applyFill="1" applyBorder="1" applyAlignment="1">
      <alignment horizontal="center" vertical="center"/>
    </xf>
    <xf numFmtId="164" fontId="14" fillId="6" borderId="0" xfId="2" applyNumberFormat="1" applyFont="1" applyFill="1"/>
    <xf numFmtId="165" fontId="14" fillId="6" borderId="0" xfId="2" applyNumberFormat="1" applyFont="1" applyFill="1"/>
    <xf numFmtId="0" fontId="14" fillId="6" borderId="0" xfId="2" applyFont="1" applyFill="1"/>
    <xf numFmtId="165" fontId="20" fillId="6" borderId="0" xfId="0" applyNumberFormat="1" applyFont="1" applyFill="1"/>
    <xf numFmtId="0" fontId="7" fillId="6" borderId="0" xfId="0" applyFont="1" applyFill="1" applyAlignment="1">
      <alignment horizontal="left"/>
    </xf>
    <xf numFmtId="164" fontId="2" fillId="6" borderId="0" xfId="0" applyNumberFormat="1" applyFont="1" applyFill="1"/>
    <xf numFmtId="166" fontId="20" fillId="6" borderId="0" xfId="0" applyNumberFormat="1" applyFont="1" applyFill="1"/>
    <xf numFmtId="0" fontId="20" fillId="6" borderId="0" xfId="0" applyFont="1" applyFill="1" applyAlignment="1">
      <alignment horizontal="right"/>
    </xf>
    <xf numFmtId="0" fontId="18" fillId="6" borderId="0" xfId="0" applyFont="1" applyFill="1" applyAlignment="1">
      <alignment wrapText="1"/>
    </xf>
    <xf numFmtId="165" fontId="18" fillId="6" borderId="0" xfId="0" applyNumberFormat="1" applyFont="1" applyFill="1"/>
    <xf numFmtId="49" fontId="18" fillId="6" borderId="0" xfId="0" applyNumberFormat="1" applyFont="1" applyFill="1"/>
    <xf numFmtId="0" fontId="18" fillId="6" borderId="0" xfId="0" applyFont="1" applyFill="1"/>
    <xf numFmtId="164" fontId="18" fillId="6" borderId="0" xfId="0" applyNumberFormat="1" applyFont="1" applyFill="1"/>
    <xf numFmtId="0" fontId="19" fillId="0" borderId="1" xfId="0" applyFont="1" applyBorder="1" applyAlignment="1">
      <alignment vertical="center" wrapText="1"/>
    </xf>
    <xf numFmtId="164" fontId="6" fillId="4" borderId="1" xfId="2" applyNumberFormat="1" applyFont="1" applyFill="1" applyBorder="1" applyAlignment="1">
      <alignment horizontal="center"/>
    </xf>
    <xf numFmtId="0" fontId="2" fillId="0" borderId="6" xfId="2" applyFont="1" applyBorder="1" applyAlignment="1">
      <alignment horizontal="center" vertical="center" wrapText="1"/>
    </xf>
    <xf numFmtId="0" fontId="2" fillId="0" borderId="8"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7" fillId="2" borderId="0" xfId="0" applyFont="1" applyFill="1" applyAlignment="1">
      <alignment horizontal="center"/>
    </xf>
    <xf numFmtId="49" fontId="15" fillId="2" borderId="0" xfId="0" applyNumberFormat="1" applyFont="1" applyFill="1" applyAlignment="1">
      <alignment horizontal="center" vertical="center" wrapText="1"/>
    </xf>
    <xf numFmtId="0" fontId="2" fillId="2" borderId="0" xfId="2" applyFont="1" applyFill="1" applyAlignment="1">
      <alignment horizontal="center"/>
    </xf>
    <xf numFmtId="49" fontId="4" fillId="2" borderId="3" xfId="1" applyNumberFormat="1" applyFont="1" applyFill="1" applyBorder="1" applyAlignment="1" applyProtection="1">
      <alignment horizontal="center" vertical="center" wrapText="1"/>
    </xf>
    <xf numFmtId="49" fontId="4" fillId="2" borderId="4"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3" fillId="2" borderId="3" xfId="1" applyNumberFormat="1" applyFont="1" applyFill="1" applyBorder="1" applyAlignment="1" applyProtection="1">
      <alignment horizontal="center" vertical="center" wrapText="1"/>
    </xf>
    <xf numFmtId="0" fontId="3" fillId="2" borderId="4" xfId="1" applyNumberFormat="1" applyFont="1" applyFill="1" applyBorder="1" applyAlignment="1" applyProtection="1">
      <alignment horizontal="center" vertical="center" wrapText="1"/>
    </xf>
    <xf numFmtId="0" fontId="3" fillId="2" borderId="5" xfId="1" applyNumberFormat="1" applyFont="1" applyFill="1" applyBorder="1" applyAlignment="1" applyProtection="1">
      <alignment horizontal="center" vertical="center" wrapText="1"/>
    </xf>
    <xf numFmtId="0" fontId="2" fillId="0" borderId="7" xfId="2" applyFont="1" applyBorder="1" applyAlignment="1">
      <alignment horizontal="center"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0" borderId="4" xfId="2" applyFont="1" applyBorder="1" applyAlignment="1">
      <alignment horizontal="center" vertical="center" wrapText="1"/>
    </xf>
    <xf numFmtId="165" fontId="3" fillId="2" borderId="3" xfId="0" applyNumberFormat="1" applyFont="1" applyFill="1" applyBorder="1" applyAlignment="1">
      <alignment horizontal="center"/>
    </xf>
    <xf numFmtId="165" fontId="3" fillId="2" borderId="5" xfId="0" applyNumberFormat="1" applyFont="1" applyFill="1" applyBorder="1" applyAlignment="1">
      <alignment horizontal="center"/>
    </xf>
    <xf numFmtId="165" fontId="3" fillId="3" borderId="3" xfId="2" applyNumberFormat="1" applyFont="1" applyFill="1" applyBorder="1" applyAlignment="1">
      <alignment horizontal="center"/>
    </xf>
    <xf numFmtId="165" fontId="3" fillId="3" borderId="5" xfId="2" applyNumberFormat="1" applyFont="1" applyFill="1" applyBorder="1" applyAlignment="1">
      <alignment horizontal="center"/>
    </xf>
    <xf numFmtId="49" fontId="2" fillId="2" borderId="3"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0" fontId="3" fillId="0" borderId="3" xfId="0" applyFont="1" applyBorder="1" applyAlignment="1">
      <alignment horizontal="left" wrapText="1"/>
    </xf>
    <xf numFmtId="0" fontId="3" fillId="0" borderId="5" xfId="0" applyFont="1" applyBorder="1" applyAlignment="1">
      <alignment horizontal="left" wrapText="1"/>
    </xf>
    <xf numFmtId="165" fontId="3" fillId="0" borderId="3" xfId="0" applyNumberFormat="1" applyFont="1" applyBorder="1" applyAlignment="1">
      <alignment horizontal="center" wrapText="1"/>
    </xf>
    <xf numFmtId="165" fontId="3" fillId="0" borderId="5" xfId="0" applyNumberFormat="1" applyFont="1" applyBorder="1" applyAlignment="1">
      <alignment horizontal="center" wrapText="1"/>
    </xf>
    <xf numFmtId="0" fontId="3" fillId="6" borderId="1" xfId="1" applyNumberFormat="1" applyFont="1" applyFill="1" applyBorder="1" applyAlignment="1" applyProtection="1">
      <alignment horizontal="center" vertical="center" wrapText="1"/>
    </xf>
    <xf numFmtId="0" fontId="2" fillId="6" borderId="1" xfId="2" applyFont="1" applyFill="1" applyBorder="1" applyAlignment="1">
      <alignment horizontal="center" vertical="center" wrapText="1"/>
    </xf>
    <xf numFmtId="0" fontId="7" fillId="6" borderId="0" xfId="0" applyFont="1" applyFill="1" applyAlignment="1">
      <alignment horizontal="center"/>
    </xf>
    <xf numFmtId="0" fontId="2" fillId="6" borderId="0" xfId="2" applyFont="1" applyFill="1" applyAlignment="1">
      <alignment horizontal="center"/>
    </xf>
    <xf numFmtId="49" fontId="15" fillId="6" borderId="0" xfId="0" applyNumberFormat="1" applyFont="1" applyFill="1" applyAlignment="1">
      <alignment horizontal="center" vertical="center"/>
    </xf>
    <xf numFmtId="49" fontId="4" fillId="6" borderId="3" xfId="1" applyNumberFormat="1" applyFont="1" applyFill="1" applyBorder="1" applyAlignment="1" applyProtection="1">
      <alignment horizontal="center" vertical="center" wrapText="1"/>
    </xf>
    <xf numFmtId="49" fontId="4" fillId="6" borderId="4" xfId="1" applyNumberFormat="1" applyFont="1" applyFill="1" applyBorder="1" applyAlignment="1" applyProtection="1">
      <alignment horizontal="center" vertical="center" wrapText="1"/>
    </xf>
    <xf numFmtId="49" fontId="4" fillId="6" borderId="5" xfId="1" applyNumberFormat="1" applyFont="1" applyFill="1" applyBorder="1" applyAlignment="1" applyProtection="1">
      <alignment horizontal="center" vertical="center" wrapText="1"/>
    </xf>
    <xf numFmtId="49" fontId="4" fillId="6" borderId="1" xfId="1" applyNumberFormat="1" applyFont="1" applyFill="1" applyBorder="1" applyAlignment="1" applyProtection="1">
      <alignment horizontal="center" vertical="center" wrapText="1"/>
    </xf>
    <xf numFmtId="164" fontId="6" fillId="0" borderId="1" xfId="2" applyNumberFormat="1" applyFont="1" applyBorder="1" applyAlignment="1">
      <alignment horizontal="center"/>
    </xf>
  </cellXfs>
  <cellStyles count="3">
    <cellStyle name="Обычный" xfId="0" builtinId="0"/>
    <cellStyle name="Обычный 3" xfId="1"/>
    <cellStyle name="Обычный_дод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97"/>
  <sheetViews>
    <sheetView tabSelected="1" view="pageBreakPreview" topLeftCell="A80" zoomScale="80" zoomScaleNormal="80" zoomScaleSheetLayoutView="80" workbookViewId="0">
      <selection activeCell="N87" sqref="N87"/>
    </sheetView>
  </sheetViews>
  <sheetFormatPr defaultColWidth="9.109375" defaultRowHeight="14.4"/>
  <cols>
    <col min="1" max="3" width="9.109375" style="38"/>
    <col min="4" max="4" width="47" style="6" customWidth="1"/>
    <col min="5" max="5" width="16.6640625" style="6" customWidth="1"/>
    <col min="6" max="6" width="14.109375" style="6" customWidth="1"/>
    <col min="7" max="7" width="12.109375" style="6" customWidth="1"/>
    <col min="8" max="8" width="15.5546875" style="6" customWidth="1"/>
    <col min="9" max="9" width="14.5546875" style="6" customWidth="1"/>
    <col min="10" max="10" width="10.44140625" style="6" customWidth="1"/>
    <col min="11" max="11" width="11" style="6" customWidth="1"/>
    <col min="12" max="12" width="14" style="6" customWidth="1"/>
    <col min="13" max="13" width="16.33203125" style="6" customWidth="1"/>
    <col min="14" max="14" width="15.6640625" style="6" customWidth="1"/>
    <col min="15" max="15" width="15.88671875" style="6" customWidth="1"/>
    <col min="16" max="16" width="11" style="6" bestFit="1" customWidth="1"/>
    <col min="17" max="17" width="12" style="6" bestFit="1" customWidth="1"/>
    <col min="18" max="16384" width="9.109375" style="6"/>
  </cols>
  <sheetData>
    <row r="1" spans="1:16">
      <c r="A1" s="3"/>
      <c r="B1" s="3"/>
      <c r="C1" s="3"/>
      <c r="D1" s="4"/>
      <c r="E1" s="5"/>
      <c r="F1" s="5"/>
      <c r="G1" s="5"/>
      <c r="H1" s="5"/>
      <c r="I1" s="5"/>
      <c r="J1" s="5"/>
      <c r="K1" s="5"/>
      <c r="L1" s="5" t="s">
        <v>444</v>
      </c>
      <c r="M1" s="5"/>
      <c r="N1" s="5"/>
      <c r="O1" s="5"/>
    </row>
    <row r="2" spans="1:16">
      <c r="A2" s="3"/>
      <c r="B2" s="3"/>
      <c r="C2" s="3"/>
      <c r="D2" s="4"/>
      <c r="E2" s="5"/>
      <c r="F2" s="5"/>
      <c r="G2" s="5"/>
      <c r="H2" s="5"/>
      <c r="I2" s="5"/>
      <c r="J2" s="5"/>
      <c r="K2" s="5"/>
      <c r="L2" s="7" t="s">
        <v>459</v>
      </c>
      <c r="M2" s="7"/>
      <c r="N2" s="5"/>
      <c r="O2" s="5"/>
    </row>
    <row r="3" spans="1:16">
      <c r="A3" s="3"/>
      <c r="B3" s="3"/>
      <c r="C3" s="3"/>
      <c r="D3" s="4"/>
      <c r="E3" s="5"/>
      <c r="F3" s="5"/>
      <c r="G3" s="5"/>
      <c r="H3" s="5"/>
      <c r="I3" s="5"/>
      <c r="J3" s="5"/>
      <c r="K3" s="5"/>
      <c r="L3" s="7" t="s">
        <v>457</v>
      </c>
      <c r="M3" s="7"/>
      <c r="N3" s="5"/>
      <c r="O3" s="5"/>
    </row>
    <row r="4" spans="1:16">
      <c r="A4" s="3"/>
      <c r="B4" s="3"/>
      <c r="C4" s="3"/>
      <c r="D4" s="4"/>
      <c r="E4" s="5"/>
      <c r="F4" s="5"/>
      <c r="G4" s="5"/>
      <c r="H4" s="5"/>
      <c r="I4" s="5"/>
      <c r="J4" s="5"/>
      <c r="K4" s="5"/>
      <c r="L4" s="7"/>
      <c r="M4" s="7"/>
      <c r="N4" s="5"/>
      <c r="O4" s="5"/>
    </row>
    <row r="5" spans="1:16">
      <c r="A5" s="3"/>
      <c r="B5" s="141"/>
      <c r="C5" s="141"/>
      <c r="D5" s="141"/>
      <c r="E5" s="141"/>
      <c r="F5" s="141"/>
      <c r="G5" s="141"/>
      <c r="H5" s="141"/>
      <c r="I5" s="141"/>
      <c r="J5" s="141"/>
      <c r="K5" s="141"/>
      <c r="L5" s="141"/>
      <c r="M5" s="141"/>
      <c r="N5" s="141"/>
      <c r="O5" s="141"/>
    </row>
    <row r="6" spans="1:16" ht="46.5" customHeight="1">
      <c r="A6" s="142" t="s">
        <v>426</v>
      </c>
      <c r="B6" s="142"/>
      <c r="C6" s="142"/>
      <c r="D6" s="142"/>
      <c r="E6" s="142"/>
      <c r="F6" s="142"/>
      <c r="G6" s="142"/>
      <c r="H6" s="142"/>
      <c r="I6" s="142"/>
      <c r="J6" s="142"/>
      <c r="K6" s="142"/>
      <c r="L6" s="142"/>
      <c r="M6" s="142"/>
      <c r="N6" s="142"/>
      <c r="O6" s="142"/>
    </row>
    <row r="7" spans="1:16">
      <c r="A7" s="3"/>
      <c r="B7" s="3"/>
      <c r="C7" s="3"/>
      <c r="D7" s="143"/>
      <c r="E7" s="143"/>
      <c r="F7" s="143"/>
      <c r="G7" s="143"/>
      <c r="H7" s="143"/>
      <c r="I7" s="143"/>
      <c r="J7" s="143"/>
      <c r="K7" s="143"/>
      <c r="L7" s="143"/>
      <c r="M7" s="143"/>
      <c r="N7" s="143"/>
      <c r="O7" s="143"/>
    </row>
    <row r="8" spans="1:16">
      <c r="A8" s="3"/>
      <c r="B8" s="3"/>
      <c r="C8" s="3"/>
      <c r="D8" s="8"/>
      <c r="E8" s="8"/>
      <c r="F8" s="8"/>
      <c r="G8" s="8"/>
      <c r="H8" s="8"/>
      <c r="I8" s="8"/>
      <c r="J8" s="8"/>
      <c r="K8" s="8"/>
      <c r="L8" s="8"/>
      <c r="M8" s="8"/>
      <c r="N8" s="8"/>
      <c r="O8" s="9" t="s">
        <v>0</v>
      </c>
    </row>
    <row r="9" spans="1:16" ht="15" customHeight="1">
      <c r="A9" s="144" t="s">
        <v>50</v>
      </c>
      <c r="B9" s="144" t="s">
        <v>51</v>
      </c>
      <c r="C9" s="144" t="s">
        <v>52</v>
      </c>
      <c r="D9" s="147" t="s">
        <v>54</v>
      </c>
      <c r="E9" s="137" t="s">
        <v>1</v>
      </c>
      <c r="F9" s="150"/>
      <c r="G9" s="138"/>
      <c r="H9" s="137" t="s">
        <v>6</v>
      </c>
      <c r="I9" s="150"/>
      <c r="J9" s="150"/>
      <c r="K9" s="150"/>
      <c r="L9" s="150"/>
      <c r="M9" s="150"/>
      <c r="N9" s="138"/>
      <c r="O9" s="151" t="s">
        <v>11</v>
      </c>
    </row>
    <row r="10" spans="1:16" ht="15" customHeight="1">
      <c r="A10" s="145"/>
      <c r="B10" s="145"/>
      <c r="C10" s="145"/>
      <c r="D10" s="148"/>
      <c r="E10" s="139" t="s">
        <v>2</v>
      </c>
      <c r="F10" s="137" t="s">
        <v>3</v>
      </c>
      <c r="G10" s="138"/>
      <c r="H10" s="139" t="s">
        <v>2</v>
      </c>
      <c r="I10" s="139" t="s">
        <v>7</v>
      </c>
      <c r="J10" s="137" t="s">
        <v>3</v>
      </c>
      <c r="K10" s="138"/>
      <c r="L10" s="139" t="s">
        <v>8</v>
      </c>
      <c r="M10" s="137" t="s">
        <v>3</v>
      </c>
      <c r="N10" s="138"/>
      <c r="O10" s="152"/>
    </row>
    <row r="11" spans="1:16" ht="15" customHeight="1">
      <c r="A11" s="145"/>
      <c r="B11" s="145"/>
      <c r="C11" s="145"/>
      <c r="D11" s="148"/>
      <c r="E11" s="154"/>
      <c r="F11" s="139" t="s">
        <v>4</v>
      </c>
      <c r="G11" s="139" t="s">
        <v>5</v>
      </c>
      <c r="H11" s="154"/>
      <c r="I11" s="154"/>
      <c r="J11" s="139" t="s">
        <v>4</v>
      </c>
      <c r="K11" s="139" t="s">
        <v>5</v>
      </c>
      <c r="L11" s="154"/>
      <c r="M11" s="139" t="s">
        <v>9</v>
      </c>
      <c r="N11" s="53" t="s">
        <v>3</v>
      </c>
      <c r="O11" s="152"/>
    </row>
    <row r="12" spans="1:16" ht="63" customHeight="1">
      <c r="A12" s="146"/>
      <c r="B12" s="146"/>
      <c r="C12" s="146"/>
      <c r="D12" s="149"/>
      <c r="E12" s="140"/>
      <c r="F12" s="140"/>
      <c r="G12" s="140"/>
      <c r="H12" s="140"/>
      <c r="I12" s="140"/>
      <c r="J12" s="140"/>
      <c r="K12" s="140"/>
      <c r="L12" s="140"/>
      <c r="M12" s="140"/>
      <c r="N12" s="10" t="s">
        <v>10</v>
      </c>
      <c r="O12" s="153"/>
    </row>
    <row r="13" spans="1:16">
      <c r="A13" s="11">
        <v>1</v>
      </c>
      <c r="B13" s="11">
        <v>2</v>
      </c>
      <c r="C13" s="11">
        <v>3</v>
      </c>
      <c r="D13" s="53">
        <v>4</v>
      </c>
      <c r="E13" s="53">
        <v>5</v>
      </c>
      <c r="F13" s="53">
        <v>6</v>
      </c>
      <c r="G13" s="53">
        <v>7</v>
      </c>
      <c r="H13" s="53">
        <v>8</v>
      </c>
      <c r="I13" s="53">
        <v>9</v>
      </c>
      <c r="J13" s="53">
        <v>10</v>
      </c>
      <c r="K13" s="53">
        <v>11</v>
      </c>
      <c r="L13" s="53">
        <v>12</v>
      </c>
      <c r="M13" s="53">
        <v>13</v>
      </c>
      <c r="N13" s="53">
        <v>14</v>
      </c>
      <c r="O13" s="54" t="s">
        <v>53</v>
      </c>
    </row>
    <row r="14" spans="1:16" s="14" customFormat="1" ht="27.6">
      <c r="A14" s="12" t="s">
        <v>55</v>
      </c>
      <c r="B14" s="12"/>
      <c r="C14" s="12"/>
      <c r="D14" s="13" t="s">
        <v>44</v>
      </c>
      <c r="E14" s="59">
        <f>E15</f>
        <v>7314.1</v>
      </c>
      <c r="F14" s="59">
        <f t="shared" ref="F14:H14" si="0">F15</f>
        <v>6487.4</v>
      </c>
      <c r="G14" s="59">
        <f t="shared" si="0"/>
        <v>0</v>
      </c>
      <c r="H14" s="59">
        <f t="shared" si="0"/>
        <v>1471.26865</v>
      </c>
      <c r="I14" s="59">
        <f>I15</f>
        <v>1430.76765</v>
      </c>
      <c r="J14" s="59"/>
      <c r="K14" s="59"/>
      <c r="L14" s="59">
        <f t="shared" ref="L14" si="1">L15</f>
        <v>40.501000000000005</v>
      </c>
      <c r="M14" s="59"/>
      <c r="N14" s="59"/>
      <c r="O14" s="37">
        <f t="shared" ref="O14:O20" si="2">E14+H14</f>
        <v>8785.3686500000003</v>
      </c>
    </row>
    <row r="15" spans="1:16" s="15" customFormat="1" ht="27.6">
      <c r="A15" s="12" t="s">
        <v>56</v>
      </c>
      <c r="B15" s="11"/>
      <c r="C15" s="11"/>
      <c r="D15" s="13" t="s">
        <v>44</v>
      </c>
      <c r="E15" s="60">
        <f>E16+E17+E18+E19</f>
        <v>7314.1</v>
      </c>
      <c r="F15" s="60">
        <f>F16+F17+F18</f>
        <v>6487.4</v>
      </c>
      <c r="G15" s="60">
        <f>G16+G17+G18</f>
        <v>0</v>
      </c>
      <c r="H15" s="60">
        <f>I15+L15</f>
        <v>1471.26865</v>
      </c>
      <c r="I15" s="60">
        <f>I16+I17+I18+I20</f>
        <v>1430.76765</v>
      </c>
      <c r="J15" s="60"/>
      <c r="K15" s="60"/>
      <c r="L15" s="60">
        <f>L16+L17+L18+L20</f>
        <v>40.501000000000005</v>
      </c>
      <c r="M15" s="60"/>
      <c r="N15" s="60"/>
      <c r="O15" s="37">
        <f t="shared" si="2"/>
        <v>8785.3686500000003</v>
      </c>
    </row>
    <row r="16" spans="1:16" s="15" customFormat="1" ht="69">
      <c r="A16" s="11" t="s">
        <v>57</v>
      </c>
      <c r="B16" s="11" t="s">
        <v>58</v>
      </c>
      <c r="C16" s="11" t="s">
        <v>59</v>
      </c>
      <c r="D16" s="16" t="s">
        <v>60</v>
      </c>
      <c r="E16" s="61">
        <v>2333.9</v>
      </c>
      <c r="F16" s="61">
        <v>2333.9</v>
      </c>
      <c r="G16" s="61"/>
      <c r="H16" s="61">
        <f>I16+L16</f>
        <v>0</v>
      </c>
      <c r="I16" s="61">
        <v>24</v>
      </c>
      <c r="J16" s="61"/>
      <c r="K16" s="61"/>
      <c r="L16" s="61">
        <v>-24</v>
      </c>
      <c r="M16" s="61"/>
      <c r="N16" s="61"/>
      <c r="O16" s="62">
        <f t="shared" si="2"/>
        <v>2333.9</v>
      </c>
      <c r="P16" s="17"/>
    </row>
    <row r="17" spans="1:16" s="15" customFormat="1" ht="29.25" customHeight="1">
      <c r="A17" s="11" t="s">
        <v>393</v>
      </c>
      <c r="B17" s="11" t="s">
        <v>162</v>
      </c>
      <c r="C17" s="11" t="s">
        <v>163</v>
      </c>
      <c r="D17" s="18" t="s">
        <v>164</v>
      </c>
      <c r="E17" s="58">
        <v>4930.2</v>
      </c>
      <c r="F17" s="58">
        <v>4153.5</v>
      </c>
      <c r="G17" s="58"/>
      <c r="H17" s="79">
        <f>I17+L17</f>
        <v>1304.1186499999999</v>
      </c>
      <c r="I17" s="58">
        <f>974.98353+264.63412</f>
        <v>1239.6176499999999</v>
      </c>
      <c r="J17" s="58"/>
      <c r="K17" s="58"/>
      <c r="L17" s="58">
        <f>14.501+50</f>
        <v>64.501000000000005</v>
      </c>
      <c r="M17" s="58"/>
      <c r="N17" s="58"/>
      <c r="O17" s="63">
        <f t="shared" si="2"/>
        <v>6234.3186499999993</v>
      </c>
      <c r="P17" s="17"/>
    </row>
    <row r="18" spans="1:16" s="14" customFormat="1" ht="39.75" customHeight="1">
      <c r="A18" s="11" t="s">
        <v>394</v>
      </c>
      <c r="B18" s="11" t="s">
        <v>165</v>
      </c>
      <c r="C18" s="11" t="s">
        <v>166</v>
      </c>
      <c r="D18" s="19" t="s">
        <v>167</v>
      </c>
      <c r="E18" s="58"/>
      <c r="F18" s="58"/>
      <c r="G18" s="58"/>
      <c r="H18" s="58">
        <f>I18+L18</f>
        <v>7.15</v>
      </c>
      <c r="I18" s="58">
        <v>7.15</v>
      </c>
      <c r="J18" s="58"/>
      <c r="K18" s="58"/>
      <c r="L18" s="58"/>
      <c r="M18" s="58"/>
      <c r="N18" s="58"/>
      <c r="O18" s="63">
        <f t="shared" si="2"/>
        <v>7.15</v>
      </c>
    </row>
    <row r="19" spans="1:16" s="14" customFormat="1" ht="19.5" customHeight="1">
      <c r="A19" s="40" t="s">
        <v>82</v>
      </c>
      <c r="B19" s="40" t="s">
        <v>80</v>
      </c>
      <c r="C19" s="40" t="s">
        <v>81</v>
      </c>
      <c r="D19" s="80" t="s">
        <v>12</v>
      </c>
      <c r="E19" s="58">
        <v>50</v>
      </c>
      <c r="F19" s="58"/>
      <c r="G19" s="58"/>
      <c r="H19" s="58"/>
      <c r="I19" s="58"/>
      <c r="J19" s="58"/>
      <c r="K19" s="58"/>
      <c r="L19" s="58"/>
      <c r="M19" s="58"/>
      <c r="N19" s="58"/>
      <c r="O19" s="63">
        <f t="shared" si="2"/>
        <v>50</v>
      </c>
    </row>
    <row r="20" spans="1:16" s="14" customFormat="1" ht="28.2">
      <c r="A20" s="56" t="s">
        <v>428</v>
      </c>
      <c r="B20" s="56" t="s">
        <v>334</v>
      </c>
      <c r="C20" s="56" t="s">
        <v>335</v>
      </c>
      <c r="D20" s="57" t="s">
        <v>25</v>
      </c>
      <c r="E20" s="58"/>
      <c r="F20" s="58"/>
      <c r="G20" s="58"/>
      <c r="H20" s="58">
        <f>I20+L20</f>
        <v>160</v>
      </c>
      <c r="I20" s="58">
        <v>160</v>
      </c>
      <c r="J20" s="58"/>
      <c r="K20" s="58"/>
      <c r="L20" s="58"/>
      <c r="M20" s="58"/>
      <c r="N20" s="58"/>
      <c r="O20" s="63">
        <f t="shared" si="2"/>
        <v>160</v>
      </c>
    </row>
    <row r="21" spans="1:16" s="14" customFormat="1" ht="41.4">
      <c r="A21" s="12" t="s">
        <v>55</v>
      </c>
      <c r="B21" s="12"/>
      <c r="C21" s="12"/>
      <c r="D21" s="22" t="s">
        <v>36</v>
      </c>
      <c r="E21" s="60">
        <f>E22</f>
        <v>229.9</v>
      </c>
      <c r="F21" s="60">
        <f t="shared" ref="F21:N22" si="3">F22</f>
        <v>86.5</v>
      </c>
      <c r="G21" s="60">
        <f t="shared" si="3"/>
        <v>0</v>
      </c>
      <c r="H21" s="60">
        <f t="shared" si="3"/>
        <v>0</v>
      </c>
      <c r="I21" s="60">
        <f t="shared" si="3"/>
        <v>0</v>
      </c>
      <c r="J21" s="60"/>
      <c r="K21" s="60"/>
      <c r="L21" s="60">
        <f t="shared" si="3"/>
        <v>0</v>
      </c>
      <c r="M21" s="60">
        <f t="shared" si="3"/>
        <v>0</v>
      </c>
      <c r="N21" s="60">
        <f t="shared" si="3"/>
        <v>0</v>
      </c>
      <c r="O21" s="37">
        <f t="shared" ref="O21:O22" si="4">E21+H21</f>
        <v>229.9</v>
      </c>
    </row>
    <row r="22" spans="1:16" ht="41.4">
      <c r="A22" s="12" t="s">
        <v>56</v>
      </c>
      <c r="B22" s="11"/>
      <c r="C22" s="11"/>
      <c r="D22" s="13" t="s">
        <v>36</v>
      </c>
      <c r="E22" s="60">
        <f>E23</f>
        <v>229.9</v>
      </c>
      <c r="F22" s="60">
        <f>F23</f>
        <v>86.5</v>
      </c>
      <c r="G22" s="60">
        <f>G23</f>
        <v>0</v>
      </c>
      <c r="H22" s="60">
        <f>I22+L22</f>
        <v>0</v>
      </c>
      <c r="I22" s="60">
        <f>I23</f>
        <v>0</v>
      </c>
      <c r="J22" s="60"/>
      <c r="K22" s="60"/>
      <c r="L22" s="60">
        <f>L23</f>
        <v>0</v>
      </c>
      <c r="M22" s="60">
        <f t="shared" si="3"/>
        <v>0</v>
      </c>
      <c r="N22" s="60">
        <f t="shared" si="3"/>
        <v>0</v>
      </c>
      <c r="O22" s="37">
        <f t="shared" si="4"/>
        <v>229.9</v>
      </c>
    </row>
    <row r="23" spans="1:16" ht="69">
      <c r="A23" s="11" t="s">
        <v>57</v>
      </c>
      <c r="B23" s="11" t="s">
        <v>58</v>
      </c>
      <c r="C23" s="11" t="s">
        <v>59</v>
      </c>
      <c r="D23" s="16" t="s">
        <v>60</v>
      </c>
      <c r="E23" s="61">
        <v>229.9</v>
      </c>
      <c r="F23" s="61">
        <v>86.5</v>
      </c>
      <c r="G23" s="61"/>
      <c r="H23" s="61">
        <f>I23+L23</f>
        <v>0</v>
      </c>
      <c r="I23" s="61"/>
      <c r="J23" s="61"/>
      <c r="K23" s="61"/>
      <c r="L23" s="61"/>
      <c r="M23" s="61"/>
      <c r="N23" s="61"/>
      <c r="O23" s="62">
        <f t="shared" ref="O23:O41" si="5">E23+H23</f>
        <v>229.9</v>
      </c>
    </row>
    <row r="24" spans="1:16" ht="27.6">
      <c r="A24" s="12" t="s">
        <v>55</v>
      </c>
      <c r="B24" s="12"/>
      <c r="C24" s="12"/>
      <c r="D24" s="22" t="s">
        <v>34</v>
      </c>
      <c r="E24" s="60">
        <f>E25</f>
        <v>136.19999999999999</v>
      </c>
      <c r="F24" s="60">
        <f>F25</f>
        <v>114.1</v>
      </c>
      <c r="G24" s="60">
        <f>G25</f>
        <v>0</v>
      </c>
      <c r="H24" s="60">
        <f>I24+L24</f>
        <v>0</v>
      </c>
      <c r="I24" s="60">
        <f t="shared" ref="I24:N25" si="6">I25</f>
        <v>0</v>
      </c>
      <c r="J24" s="60">
        <f t="shared" si="6"/>
        <v>0</v>
      </c>
      <c r="K24" s="60">
        <f t="shared" si="6"/>
        <v>0</v>
      </c>
      <c r="L24" s="60">
        <f t="shared" si="6"/>
        <v>0</v>
      </c>
      <c r="M24" s="60">
        <f t="shared" si="6"/>
        <v>0</v>
      </c>
      <c r="N24" s="60">
        <f t="shared" si="6"/>
        <v>0</v>
      </c>
      <c r="O24" s="37">
        <f t="shared" si="5"/>
        <v>136.19999999999999</v>
      </c>
    </row>
    <row r="25" spans="1:16" ht="32.25" customHeight="1">
      <c r="A25" s="12" t="s">
        <v>56</v>
      </c>
      <c r="B25" s="12"/>
      <c r="C25" s="12"/>
      <c r="D25" s="13" t="s">
        <v>34</v>
      </c>
      <c r="E25" s="60">
        <f>E26</f>
        <v>136.19999999999999</v>
      </c>
      <c r="F25" s="60">
        <f t="shared" ref="F25:H25" si="7">F26</f>
        <v>114.1</v>
      </c>
      <c r="G25" s="60">
        <f t="shared" si="7"/>
        <v>0</v>
      </c>
      <c r="H25" s="60">
        <f t="shared" si="7"/>
        <v>0</v>
      </c>
      <c r="I25" s="60">
        <f t="shared" si="6"/>
        <v>0</v>
      </c>
      <c r="J25" s="60">
        <f t="shared" si="6"/>
        <v>0</v>
      </c>
      <c r="K25" s="60">
        <f t="shared" si="6"/>
        <v>0</v>
      </c>
      <c r="L25" s="60">
        <f t="shared" si="6"/>
        <v>0</v>
      </c>
      <c r="M25" s="60">
        <f t="shared" si="6"/>
        <v>0</v>
      </c>
      <c r="N25" s="60">
        <f t="shared" si="6"/>
        <v>0</v>
      </c>
      <c r="O25" s="37">
        <f t="shared" si="5"/>
        <v>136.19999999999999</v>
      </c>
    </row>
    <row r="26" spans="1:16" s="23" customFormat="1" ht="69">
      <c r="A26" s="11" t="s">
        <v>57</v>
      </c>
      <c r="B26" s="11" t="s">
        <v>58</v>
      </c>
      <c r="C26" s="11" t="s">
        <v>59</v>
      </c>
      <c r="D26" s="16" t="s">
        <v>60</v>
      </c>
      <c r="E26" s="61">
        <v>136.19999999999999</v>
      </c>
      <c r="F26" s="61">
        <v>114.1</v>
      </c>
      <c r="G26" s="61"/>
      <c r="H26" s="60"/>
      <c r="I26" s="61"/>
      <c r="J26" s="61"/>
      <c r="K26" s="61"/>
      <c r="L26" s="61"/>
      <c r="M26" s="61"/>
      <c r="N26" s="61"/>
      <c r="O26" s="62">
        <f t="shared" si="5"/>
        <v>136.19999999999999</v>
      </c>
    </row>
    <row r="27" spans="1:16" ht="27.6">
      <c r="A27" s="12" t="s">
        <v>55</v>
      </c>
      <c r="B27" s="12"/>
      <c r="C27" s="12"/>
      <c r="D27" s="22" t="s">
        <v>37</v>
      </c>
      <c r="E27" s="60">
        <f>E28</f>
        <v>117.3</v>
      </c>
      <c r="F27" s="60">
        <f>F28</f>
        <v>87.8</v>
      </c>
      <c r="G27" s="60">
        <f>G28</f>
        <v>0</v>
      </c>
      <c r="H27" s="60">
        <f>H28</f>
        <v>0</v>
      </c>
      <c r="I27" s="60">
        <f>I28</f>
        <v>0</v>
      </c>
      <c r="J27" s="60"/>
      <c r="K27" s="60"/>
      <c r="L27" s="60"/>
      <c r="M27" s="60"/>
      <c r="N27" s="60"/>
      <c r="O27" s="37">
        <f t="shared" si="5"/>
        <v>117.3</v>
      </c>
    </row>
    <row r="28" spans="1:16" s="23" customFormat="1" ht="37.5" customHeight="1">
      <c r="A28" s="12" t="s">
        <v>56</v>
      </c>
      <c r="B28" s="12"/>
      <c r="C28" s="12"/>
      <c r="D28" s="22" t="s">
        <v>37</v>
      </c>
      <c r="E28" s="64">
        <f>E29</f>
        <v>117.3</v>
      </c>
      <c r="F28" s="64">
        <f>F29</f>
        <v>87.8</v>
      </c>
      <c r="G28" s="64">
        <f>G29</f>
        <v>0</v>
      </c>
      <c r="H28" s="64">
        <f>I28</f>
        <v>0</v>
      </c>
      <c r="I28" s="64">
        <f>I29</f>
        <v>0</v>
      </c>
      <c r="J28" s="64"/>
      <c r="K28" s="64"/>
      <c r="L28" s="64"/>
      <c r="M28" s="64"/>
      <c r="N28" s="64"/>
      <c r="O28" s="37">
        <f t="shared" si="5"/>
        <v>117.3</v>
      </c>
    </row>
    <row r="29" spans="1:16" ht="78" customHeight="1">
      <c r="A29" s="11" t="s">
        <v>57</v>
      </c>
      <c r="B29" s="11" t="s">
        <v>58</v>
      </c>
      <c r="C29" s="11" t="s">
        <v>59</v>
      </c>
      <c r="D29" s="16" t="s">
        <v>60</v>
      </c>
      <c r="E29" s="61">
        <v>117.3</v>
      </c>
      <c r="F29" s="61">
        <v>87.8</v>
      </c>
      <c r="G29" s="61"/>
      <c r="H29" s="65">
        <f>I29</f>
        <v>0</v>
      </c>
      <c r="I29" s="65"/>
      <c r="J29" s="61"/>
      <c r="K29" s="61"/>
      <c r="L29" s="61"/>
      <c r="M29" s="61"/>
      <c r="N29" s="61"/>
      <c r="O29" s="62">
        <f t="shared" si="5"/>
        <v>117.3</v>
      </c>
    </row>
    <row r="30" spans="1:16" ht="27.6">
      <c r="A30" s="12" t="s">
        <v>90</v>
      </c>
      <c r="B30" s="12"/>
      <c r="C30" s="12"/>
      <c r="D30" s="22" t="s">
        <v>30</v>
      </c>
      <c r="E30" s="60">
        <f>E31</f>
        <v>9497.1999999999989</v>
      </c>
      <c r="F30" s="60">
        <f t="shared" ref="F30:N30" si="8">F31</f>
        <v>9497.1999999999989</v>
      </c>
      <c r="G30" s="60">
        <f t="shared" si="8"/>
        <v>0</v>
      </c>
      <c r="H30" s="60">
        <f t="shared" si="8"/>
        <v>86.94</v>
      </c>
      <c r="I30" s="60">
        <f t="shared" si="8"/>
        <v>86.94</v>
      </c>
      <c r="J30" s="60">
        <f t="shared" si="8"/>
        <v>66.822999999999993</v>
      </c>
      <c r="K30" s="60">
        <f t="shared" si="8"/>
        <v>0</v>
      </c>
      <c r="L30" s="60">
        <f t="shared" si="8"/>
        <v>0</v>
      </c>
      <c r="M30" s="60">
        <f t="shared" si="8"/>
        <v>0</v>
      </c>
      <c r="N30" s="60">
        <f t="shared" si="8"/>
        <v>0</v>
      </c>
      <c r="O30" s="37">
        <f t="shared" si="5"/>
        <v>9584.14</v>
      </c>
    </row>
    <row r="31" spans="1:16" s="23" customFormat="1" ht="27.6">
      <c r="A31" s="12" t="s">
        <v>91</v>
      </c>
      <c r="B31" s="11"/>
      <c r="C31" s="11"/>
      <c r="D31" s="22" t="s">
        <v>30</v>
      </c>
      <c r="E31" s="64">
        <f>E32+E33+E34+E35</f>
        <v>9497.1999999999989</v>
      </c>
      <c r="F31" s="64">
        <f>F32+F33+F34+F35</f>
        <v>9497.1999999999989</v>
      </c>
      <c r="G31" s="64">
        <f t="shared" ref="G31" si="9">G32+G33+G34</f>
        <v>0</v>
      </c>
      <c r="H31" s="64">
        <f>H32+H33+H34</f>
        <v>86.94</v>
      </c>
      <c r="I31" s="64">
        <f t="shared" ref="I31:N31" si="10">I32+I33+I34</f>
        <v>86.94</v>
      </c>
      <c r="J31" s="64">
        <f t="shared" si="10"/>
        <v>66.822999999999993</v>
      </c>
      <c r="K31" s="64">
        <f t="shared" si="10"/>
        <v>0</v>
      </c>
      <c r="L31" s="64">
        <f t="shared" si="10"/>
        <v>0</v>
      </c>
      <c r="M31" s="64">
        <f t="shared" si="10"/>
        <v>0</v>
      </c>
      <c r="N31" s="64">
        <f t="shared" si="10"/>
        <v>0</v>
      </c>
      <c r="O31" s="37">
        <f t="shared" si="5"/>
        <v>9584.14</v>
      </c>
    </row>
    <row r="32" spans="1:16" ht="41.4">
      <c r="A32" s="11" t="s">
        <v>93</v>
      </c>
      <c r="B32" s="11" t="s">
        <v>92</v>
      </c>
      <c r="C32" s="11" t="s">
        <v>59</v>
      </c>
      <c r="D32" s="1" t="s">
        <v>94</v>
      </c>
      <c r="E32" s="61">
        <v>116</v>
      </c>
      <c r="F32" s="61">
        <v>116</v>
      </c>
      <c r="G32" s="61"/>
      <c r="H32" s="61"/>
      <c r="I32" s="61"/>
      <c r="J32" s="61"/>
      <c r="K32" s="61"/>
      <c r="L32" s="61"/>
      <c r="M32" s="61"/>
      <c r="N32" s="61"/>
      <c r="O32" s="62">
        <f t="shared" si="5"/>
        <v>116</v>
      </c>
    </row>
    <row r="33" spans="1:15" ht="18.75" customHeight="1">
      <c r="A33" s="11" t="s">
        <v>97</v>
      </c>
      <c r="B33" s="11" t="s">
        <v>95</v>
      </c>
      <c r="C33" s="11" t="s">
        <v>98</v>
      </c>
      <c r="D33" s="24" t="s">
        <v>96</v>
      </c>
      <c r="E33" s="25">
        <v>3339.2</v>
      </c>
      <c r="F33" s="25">
        <v>3339.2</v>
      </c>
      <c r="G33" s="25"/>
      <c r="H33" s="25">
        <f>I33+L33</f>
        <v>0</v>
      </c>
      <c r="I33" s="25"/>
      <c r="J33" s="25"/>
      <c r="K33" s="25"/>
      <c r="L33" s="25"/>
      <c r="M33" s="25"/>
      <c r="N33" s="25"/>
      <c r="O33" s="62">
        <f t="shared" si="5"/>
        <v>3339.2</v>
      </c>
    </row>
    <row r="34" spans="1:15" s="23" customFormat="1" ht="69">
      <c r="A34" s="11" t="s">
        <v>100</v>
      </c>
      <c r="B34" s="11" t="s">
        <v>99</v>
      </c>
      <c r="C34" s="11" t="s">
        <v>101</v>
      </c>
      <c r="D34" s="1" t="s">
        <v>102</v>
      </c>
      <c r="E34" s="25">
        <v>5685.1</v>
      </c>
      <c r="F34" s="25">
        <v>5685.1</v>
      </c>
      <c r="G34" s="25"/>
      <c r="H34" s="25">
        <f>I34+L34</f>
        <v>86.94</v>
      </c>
      <c r="I34" s="25">
        <v>86.94</v>
      </c>
      <c r="J34" s="25">
        <v>66.822999999999993</v>
      </c>
      <c r="K34" s="25"/>
      <c r="L34" s="25"/>
      <c r="M34" s="25"/>
      <c r="N34" s="25"/>
      <c r="O34" s="62">
        <f t="shared" si="5"/>
        <v>5772.04</v>
      </c>
    </row>
    <row r="35" spans="1:15" s="23" customFormat="1" ht="69">
      <c r="A35" s="40" t="s">
        <v>391</v>
      </c>
      <c r="B35" s="40" t="s">
        <v>187</v>
      </c>
      <c r="C35" s="40" t="s">
        <v>106</v>
      </c>
      <c r="D35" s="49" t="s">
        <v>392</v>
      </c>
      <c r="E35" s="25">
        <v>356.9</v>
      </c>
      <c r="F35" s="25">
        <v>356.9</v>
      </c>
      <c r="G35" s="25"/>
      <c r="H35" s="25"/>
      <c r="I35" s="25"/>
      <c r="J35" s="25"/>
      <c r="K35" s="25"/>
      <c r="L35" s="25"/>
      <c r="M35" s="25"/>
      <c r="N35" s="25"/>
      <c r="O35" s="62">
        <f t="shared" si="5"/>
        <v>356.9</v>
      </c>
    </row>
    <row r="36" spans="1:15" ht="27.6">
      <c r="A36" s="12" t="s">
        <v>139</v>
      </c>
      <c r="B36" s="12"/>
      <c r="C36" s="12"/>
      <c r="D36" s="22" t="s">
        <v>35</v>
      </c>
      <c r="E36" s="27">
        <f>E37</f>
        <v>90.3</v>
      </c>
      <c r="F36" s="27">
        <f t="shared" ref="F36:N37" si="11">F37</f>
        <v>90.3</v>
      </c>
      <c r="G36" s="27">
        <f t="shared" si="11"/>
        <v>0</v>
      </c>
      <c r="H36" s="27">
        <f>I36+L36</f>
        <v>0</v>
      </c>
      <c r="I36" s="27">
        <f t="shared" si="11"/>
        <v>0</v>
      </c>
      <c r="J36" s="27">
        <f t="shared" si="11"/>
        <v>0</v>
      </c>
      <c r="K36" s="27">
        <f t="shared" si="11"/>
        <v>0</v>
      </c>
      <c r="L36" s="27">
        <f t="shared" si="11"/>
        <v>0</v>
      </c>
      <c r="M36" s="27">
        <f t="shared" si="11"/>
        <v>0</v>
      </c>
      <c r="N36" s="27">
        <f t="shared" si="11"/>
        <v>0</v>
      </c>
      <c r="O36" s="37">
        <f t="shared" si="5"/>
        <v>90.3</v>
      </c>
    </row>
    <row r="37" spans="1:15" ht="39" customHeight="1">
      <c r="A37" s="12" t="s">
        <v>140</v>
      </c>
      <c r="B37" s="12"/>
      <c r="C37" s="12"/>
      <c r="D37" s="22" t="s">
        <v>35</v>
      </c>
      <c r="E37" s="64">
        <f>E38</f>
        <v>90.3</v>
      </c>
      <c r="F37" s="64">
        <f>F38</f>
        <v>90.3</v>
      </c>
      <c r="G37" s="64">
        <f>G38</f>
        <v>0</v>
      </c>
      <c r="H37" s="64">
        <f>I37+L37</f>
        <v>0</v>
      </c>
      <c r="I37" s="64">
        <f t="shared" si="11"/>
        <v>0</v>
      </c>
      <c r="J37" s="64">
        <f t="shared" si="11"/>
        <v>0</v>
      </c>
      <c r="K37" s="64">
        <f t="shared" si="11"/>
        <v>0</v>
      </c>
      <c r="L37" s="64">
        <f t="shared" si="11"/>
        <v>0</v>
      </c>
      <c r="M37" s="64">
        <f t="shared" si="11"/>
        <v>0</v>
      </c>
      <c r="N37" s="64">
        <f t="shared" si="11"/>
        <v>0</v>
      </c>
      <c r="O37" s="37">
        <f t="shared" si="5"/>
        <v>90.3</v>
      </c>
    </row>
    <row r="38" spans="1:15" ht="41.4">
      <c r="A38" s="11" t="s">
        <v>141</v>
      </c>
      <c r="B38" s="11" t="s">
        <v>92</v>
      </c>
      <c r="C38" s="11" t="s">
        <v>59</v>
      </c>
      <c r="D38" s="1" t="s">
        <v>94</v>
      </c>
      <c r="E38" s="61">
        <v>90.3</v>
      </c>
      <c r="F38" s="61">
        <v>90.3</v>
      </c>
      <c r="G38" s="61"/>
      <c r="H38" s="61"/>
      <c r="I38" s="60"/>
      <c r="J38" s="60"/>
      <c r="K38" s="60"/>
      <c r="L38" s="61"/>
      <c r="M38" s="61"/>
      <c r="N38" s="61"/>
      <c r="O38" s="62">
        <f t="shared" si="5"/>
        <v>90.3</v>
      </c>
    </row>
    <row r="39" spans="1:15" ht="27.6">
      <c r="A39" s="12" t="s">
        <v>156</v>
      </c>
      <c r="B39" s="12"/>
      <c r="C39" s="12"/>
      <c r="D39" s="22" t="s">
        <v>38</v>
      </c>
      <c r="E39" s="64">
        <f>E40</f>
        <v>4136.5445500000005</v>
      </c>
      <c r="F39" s="64">
        <f t="shared" ref="F39:N39" si="12">F40</f>
        <v>566.69999999999993</v>
      </c>
      <c r="G39" s="64">
        <f t="shared" si="12"/>
        <v>0</v>
      </c>
      <c r="H39" s="64">
        <f t="shared" si="12"/>
        <v>0</v>
      </c>
      <c r="I39" s="64">
        <f t="shared" si="12"/>
        <v>0</v>
      </c>
      <c r="J39" s="64">
        <f t="shared" si="12"/>
        <v>0</v>
      </c>
      <c r="K39" s="64">
        <f t="shared" si="12"/>
        <v>0</v>
      </c>
      <c r="L39" s="64">
        <f t="shared" si="12"/>
        <v>0</v>
      </c>
      <c r="M39" s="64">
        <f t="shared" si="12"/>
        <v>0</v>
      </c>
      <c r="N39" s="64">
        <f t="shared" si="12"/>
        <v>0</v>
      </c>
      <c r="O39" s="44">
        <f t="shared" si="5"/>
        <v>4136.5445500000005</v>
      </c>
    </row>
    <row r="40" spans="1:15" ht="36.75" customHeight="1">
      <c r="A40" s="12" t="s">
        <v>157</v>
      </c>
      <c r="B40" s="11"/>
      <c r="C40" s="11"/>
      <c r="D40" s="22" t="s">
        <v>38</v>
      </c>
      <c r="E40" s="77">
        <f>E42+E41+E50+E55+E56</f>
        <v>4136.5445500000005</v>
      </c>
      <c r="F40" s="64">
        <f>F41+F50+F55+F56</f>
        <v>566.69999999999993</v>
      </c>
      <c r="G40" s="64"/>
      <c r="H40" s="64">
        <f>I40+L40</f>
        <v>0</v>
      </c>
      <c r="I40" s="64"/>
      <c r="J40" s="64"/>
      <c r="K40" s="64"/>
      <c r="L40" s="64">
        <f t="shared" ref="L40:N40" si="13">L41+L50+L55+L56</f>
        <v>0</v>
      </c>
      <c r="M40" s="64">
        <f t="shared" si="13"/>
        <v>0</v>
      </c>
      <c r="N40" s="64">
        <f t="shared" si="13"/>
        <v>0</v>
      </c>
      <c r="O40" s="44">
        <f t="shared" si="5"/>
        <v>4136.5445500000005</v>
      </c>
    </row>
    <row r="41" spans="1:15" ht="77.25" customHeight="1">
      <c r="A41" s="11" t="s">
        <v>158</v>
      </c>
      <c r="B41" s="11" t="s">
        <v>92</v>
      </c>
      <c r="C41" s="11" t="s">
        <v>59</v>
      </c>
      <c r="D41" s="28" t="str">
        <f>D38</f>
        <v>Керівництво і управління у відповідній сфері у містах республіканського Автономної Республіки Крим та обласного значення</v>
      </c>
      <c r="E41" s="61">
        <v>388.4</v>
      </c>
      <c r="F41" s="61">
        <v>388.4</v>
      </c>
      <c r="G41" s="61"/>
      <c r="H41" s="61">
        <f>I41+L41</f>
        <v>0</v>
      </c>
      <c r="I41" s="61"/>
      <c r="J41" s="61"/>
      <c r="K41" s="61"/>
      <c r="L41" s="61"/>
      <c r="M41" s="61"/>
      <c r="N41" s="61"/>
      <c r="O41" s="62">
        <f t="shared" si="5"/>
        <v>388.4</v>
      </c>
    </row>
    <row r="42" spans="1:15" ht="96" customHeight="1">
      <c r="A42" s="11" t="s">
        <v>169</v>
      </c>
      <c r="B42" s="11" t="s">
        <v>168</v>
      </c>
      <c r="C42" s="11"/>
      <c r="D42" s="26" t="s">
        <v>170</v>
      </c>
      <c r="E42" s="67">
        <f>E43+E44+E46+E47+E48+E49</f>
        <v>2343.64455</v>
      </c>
      <c r="F42" s="67"/>
      <c r="G42" s="67"/>
      <c r="H42" s="68"/>
      <c r="I42" s="67"/>
      <c r="J42" s="67"/>
      <c r="K42" s="67"/>
      <c r="L42" s="67"/>
      <c r="M42" s="67"/>
      <c r="N42" s="67"/>
      <c r="O42" s="69">
        <f>E42+H42</f>
        <v>2343.64455</v>
      </c>
    </row>
    <row r="43" spans="1:15" ht="185.25" customHeight="1">
      <c r="A43" s="11" t="s">
        <v>172</v>
      </c>
      <c r="B43" s="11" t="s">
        <v>171</v>
      </c>
      <c r="C43" s="11" t="s">
        <v>103</v>
      </c>
      <c r="D43" s="70" t="s">
        <v>395</v>
      </c>
      <c r="E43" s="71">
        <v>149.90398999999999</v>
      </c>
      <c r="F43" s="71"/>
      <c r="G43" s="71"/>
      <c r="H43" s="72"/>
      <c r="I43" s="71"/>
      <c r="J43" s="71"/>
      <c r="K43" s="71"/>
      <c r="L43" s="71"/>
      <c r="M43" s="71"/>
      <c r="N43" s="71"/>
      <c r="O43" s="73">
        <f>E43+H43</f>
        <v>149.90398999999999</v>
      </c>
    </row>
    <row r="44" spans="1:15" ht="268.5" customHeight="1">
      <c r="A44" s="159" t="s">
        <v>183</v>
      </c>
      <c r="B44" s="159" t="s">
        <v>184</v>
      </c>
      <c r="C44" s="159" t="s">
        <v>103</v>
      </c>
      <c r="D44" s="161" t="s">
        <v>379</v>
      </c>
      <c r="E44" s="155">
        <v>1.8630199999999999</v>
      </c>
      <c r="F44" s="155"/>
      <c r="G44" s="155"/>
      <c r="H44" s="163"/>
      <c r="I44" s="155"/>
      <c r="J44" s="155"/>
      <c r="K44" s="155"/>
      <c r="L44" s="155"/>
      <c r="M44" s="155"/>
      <c r="N44" s="155"/>
      <c r="O44" s="157">
        <f>E44+H44</f>
        <v>1.8630199999999999</v>
      </c>
    </row>
    <row r="45" spans="1:15" ht="238.5" customHeight="1">
      <c r="A45" s="160"/>
      <c r="B45" s="160"/>
      <c r="C45" s="160"/>
      <c r="D45" s="162"/>
      <c r="E45" s="156"/>
      <c r="F45" s="156"/>
      <c r="G45" s="156"/>
      <c r="H45" s="164"/>
      <c r="I45" s="156"/>
      <c r="J45" s="156"/>
      <c r="K45" s="156"/>
      <c r="L45" s="156"/>
      <c r="M45" s="156"/>
      <c r="N45" s="156"/>
      <c r="O45" s="158"/>
    </row>
    <row r="46" spans="1:15" ht="128.25" customHeight="1">
      <c r="A46" s="11" t="s">
        <v>186</v>
      </c>
      <c r="B46" s="11" t="s">
        <v>185</v>
      </c>
      <c r="C46" s="11" t="s">
        <v>187</v>
      </c>
      <c r="D46" s="2" t="s">
        <v>380</v>
      </c>
      <c r="E46" s="74">
        <v>17.39368</v>
      </c>
      <c r="F46" s="74"/>
      <c r="G46" s="74"/>
      <c r="H46" s="75"/>
      <c r="I46" s="74"/>
      <c r="J46" s="74"/>
      <c r="K46" s="74"/>
      <c r="L46" s="74"/>
      <c r="M46" s="74"/>
      <c r="N46" s="74"/>
      <c r="O46" s="76">
        <f>E46+H46</f>
        <v>17.39368</v>
      </c>
    </row>
    <row r="47" spans="1:15" ht="213" customHeight="1">
      <c r="A47" s="78">
        <v>1513014</v>
      </c>
      <c r="B47" s="11" t="s">
        <v>193</v>
      </c>
      <c r="C47" s="11" t="s">
        <v>187</v>
      </c>
      <c r="D47" s="2" t="s">
        <v>396</v>
      </c>
      <c r="E47" s="71">
        <v>-60.901429999999998</v>
      </c>
      <c r="F47" s="71"/>
      <c r="G47" s="71"/>
      <c r="H47" s="72"/>
      <c r="I47" s="71"/>
      <c r="J47" s="71"/>
      <c r="K47" s="71"/>
      <c r="L47" s="71"/>
      <c r="M47" s="71"/>
      <c r="N47" s="71"/>
      <c r="O47" s="76">
        <f t="shared" ref="O47:O49" si="14">E47+H47</f>
        <v>-60.901429999999998</v>
      </c>
    </row>
    <row r="48" spans="1:15" ht="31.5" customHeight="1">
      <c r="A48" s="11" t="s">
        <v>200</v>
      </c>
      <c r="B48" s="11" t="s">
        <v>201</v>
      </c>
      <c r="C48" s="11" t="s">
        <v>187</v>
      </c>
      <c r="D48" s="2" t="s">
        <v>202</v>
      </c>
      <c r="E48" s="71">
        <v>-106.31077000000001</v>
      </c>
      <c r="F48" s="71"/>
      <c r="G48" s="71"/>
      <c r="H48" s="72"/>
      <c r="I48" s="71"/>
      <c r="J48" s="71"/>
      <c r="K48" s="71"/>
      <c r="L48" s="71"/>
      <c r="M48" s="71"/>
      <c r="N48" s="71"/>
      <c r="O48" s="76">
        <f t="shared" si="14"/>
        <v>-106.31077000000001</v>
      </c>
    </row>
    <row r="49" spans="1:15" ht="44.25" customHeight="1">
      <c r="A49" s="11" t="s">
        <v>234</v>
      </c>
      <c r="B49" s="11" t="s">
        <v>233</v>
      </c>
      <c r="C49" s="11" t="s">
        <v>187</v>
      </c>
      <c r="D49" s="2" t="s">
        <v>235</v>
      </c>
      <c r="E49" s="71">
        <v>2341.6960600000002</v>
      </c>
      <c r="F49" s="71"/>
      <c r="G49" s="71"/>
      <c r="H49" s="72"/>
      <c r="I49" s="71"/>
      <c r="J49" s="71"/>
      <c r="K49" s="71"/>
      <c r="L49" s="71"/>
      <c r="M49" s="71"/>
      <c r="N49" s="71"/>
      <c r="O49" s="76">
        <f t="shared" si="14"/>
        <v>2341.6960600000002</v>
      </c>
    </row>
    <row r="50" spans="1:15" ht="62.4">
      <c r="A50" s="21" t="s">
        <v>252</v>
      </c>
      <c r="B50" s="21" t="s">
        <v>253</v>
      </c>
      <c r="C50" s="21"/>
      <c r="D50" s="19" t="s">
        <v>254</v>
      </c>
      <c r="E50" s="61">
        <f>E51+E52</f>
        <v>187.1</v>
      </c>
      <c r="F50" s="61">
        <f>F51+F52+F55</f>
        <v>178.29999999999998</v>
      </c>
      <c r="G50" s="61"/>
      <c r="H50" s="61">
        <f>H51</f>
        <v>0</v>
      </c>
      <c r="I50" s="61"/>
      <c r="J50" s="61"/>
      <c r="K50" s="61"/>
      <c r="L50" s="61"/>
      <c r="M50" s="61"/>
      <c r="N50" s="61"/>
      <c r="O50" s="62">
        <f>O51+O52</f>
        <v>130.19999999999999</v>
      </c>
    </row>
    <row r="51" spans="1:15" ht="62.4">
      <c r="A51" s="11" t="s">
        <v>255</v>
      </c>
      <c r="B51" s="11" t="s">
        <v>256</v>
      </c>
      <c r="C51" s="11" t="s">
        <v>99</v>
      </c>
      <c r="D51" s="30" t="s">
        <v>257</v>
      </c>
      <c r="E51" s="25">
        <v>128.6</v>
      </c>
      <c r="F51" s="25">
        <v>128.6</v>
      </c>
      <c r="G51" s="25"/>
      <c r="H51" s="61">
        <f>I51+L51</f>
        <v>0</v>
      </c>
      <c r="I51" s="61"/>
      <c r="J51" s="61"/>
      <c r="K51" s="61"/>
      <c r="L51" s="61"/>
      <c r="M51" s="61"/>
      <c r="N51" s="61"/>
      <c r="O51" s="62">
        <f>O52+O53</f>
        <v>71.7</v>
      </c>
    </row>
    <row r="52" spans="1:15" ht="31.2">
      <c r="A52" s="11" t="s">
        <v>245</v>
      </c>
      <c r="B52" s="11" t="s">
        <v>145</v>
      </c>
      <c r="C52" s="11"/>
      <c r="D52" s="2" t="s">
        <v>147</v>
      </c>
      <c r="E52" s="58">
        <f>E53+E54</f>
        <v>58.5</v>
      </c>
      <c r="F52" s="58">
        <f>F53+F54</f>
        <v>49.699999999999996</v>
      </c>
      <c r="G52" s="58"/>
      <c r="H52" s="58"/>
      <c r="I52" s="58"/>
      <c r="J52" s="58"/>
      <c r="K52" s="58"/>
      <c r="L52" s="58"/>
      <c r="M52" s="58"/>
      <c r="N52" s="58"/>
      <c r="O52" s="62">
        <f>O53+O54</f>
        <v>58.5</v>
      </c>
    </row>
    <row r="53" spans="1:15" ht="31.2">
      <c r="A53" s="21" t="s">
        <v>248</v>
      </c>
      <c r="B53" s="21" t="s">
        <v>246</v>
      </c>
      <c r="C53" s="21" t="s">
        <v>131</v>
      </c>
      <c r="D53" s="26" t="s">
        <v>247</v>
      </c>
      <c r="E53" s="25">
        <v>13.2</v>
      </c>
      <c r="F53" s="25">
        <v>4.4000000000000004</v>
      </c>
      <c r="G53" s="25"/>
      <c r="H53" s="61"/>
      <c r="I53" s="61"/>
      <c r="J53" s="61"/>
      <c r="K53" s="61"/>
      <c r="L53" s="61"/>
      <c r="M53" s="61"/>
      <c r="N53" s="61"/>
      <c r="O53" s="62">
        <f t="shared" ref="O53:O66" si="15">E53+H53</f>
        <v>13.2</v>
      </c>
    </row>
    <row r="54" spans="1:15" ht="31.2">
      <c r="A54" s="21" t="s">
        <v>249</v>
      </c>
      <c r="B54" s="21" t="s">
        <v>250</v>
      </c>
      <c r="C54" s="21" t="s">
        <v>131</v>
      </c>
      <c r="D54" s="26" t="s">
        <v>251</v>
      </c>
      <c r="E54" s="61">
        <v>45.3</v>
      </c>
      <c r="F54" s="61">
        <v>45.3</v>
      </c>
      <c r="G54" s="61"/>
      <c r="H54" s="61"/>
      <c r="I54" s="61"/>
      <c r="J54" s="61"/>
      <c r="K54" s="61"/>
      <c r="L54" s="61"/>
      <c r="M54" s="61"/>
      <c r="N54" s="61"/>
      <c r="O54" s="62">
        <f t="shared" si="15"/>
        <v>45.3</v>
      </c>
    </row>
    <row r="55" spans="1:15" ht="93.6">
      <c r="A55" s="11" t="s">
        <v>264</v>
      </c>
      <c r="B55" s="11" t="s">
        <v>265</v>
      </c>
      <c r="C55" s="11" t="s">
        <v>160</v>
      </c>
      <c r="D55" s="2" t="s">
        <v>381</v>
      </c>
      <c r="E55" s="61">
        <v>97.8</v>
      </c>
      <c r="F55" s="61"/>
      <c r="G55" s="61"/>
      <c r="H55" s="61"/>
      <c r="I55" s="61"/>
      <c r="J55" s="61"/>
      <c r="K55" s="61"/>
      <c r="L55" s="61"/>
      <c r="M55" s="61"/>
      <c r="N55" s="61"/>
      <c r="O55" s="62">
        <f t="shared" si="15"/>
        <v>97.8</v>
      </c>
    </row>
    <row r="56" spans="1:15">
      <c r="A56" s="11" t="s">
        <v>242</v>
      </c>
      <c r="B56" s="11" t="s">
        <v>61</v>
      </c>
      <c r="C56" s="11" t="s">
        <v>63</v>
      </c>
      <c r="D56" s="20" t="s">
        <v>14</v>
      </c>
      <c r="E56" s="58">
        <v>1119.5999999999999</v>
      </c>
      <c r="F56" s="58"/>
      <c r="G56" s="58"/>
      <c r="H56" s="58"/>
      <c r="I56" s="58"/>
      <c r="J56" s="58"/>
      <c r="K56" s="58"/>
      <c r="L56" s="58"/>
      <c r="M56" s="58"/>
      <c r="N56" s="58"/>
      <c r="O56" s="62">
        <f>E56+H56</f>
        <v>1119.5999999999999</v>
      </c>
    </row>
    <row r="57" spans="1:15" ht="27.6">
      <c r="A57" s="12" t="s">
        <v>279</v>
      </c>
      <c r="B57" s="11"/>
      <c r="C57" s="11"/>
      <c r="D57" s="22" t="s">
        <v>39</v>
      </c>
      <c r="E57" s="58">
        <f>E58</f>
        <v>89.4</v>
      </c>
      <c r="F57" s="58">
        <f>F58</f>
        <v>89.4</v>
      </c>
      <c r="G57" s="58"/>
      <c r="H57" s="58"/>
      <c r="I57" s="58"/>
      <c r="J57" s="58"/>
      <c r="K57" s="58"/>
      <c r="L57" s="58"/>
      <c r="M57" s="58"/>
      <c r="N57" s="58"/>
      <c r="O57" s="37">
        <f>O58</f>
        <v>89.4</v>
      </c>
    </row>
    <row r="58" spans="1:15" ht="27.6">
      <c r="A58" s="12" t="s">
        <v>280</v>
      </c>
      <c r="B58" s="11"/>
      <c r="C58" s="11"/>
      <c r="D58" s="22" t="s">
        <v>39</v>
      </c>
      <c r="E58" s="64">
        <f>E59</f>
        <v>89.4</v>
      </c>
      <c r="F58" s="64">
        <f>F59</f>
        <v>89.4</v>
      </c>
      <c r="G58" s="64"/>
      <c r="H58" s="64"/>
      <c r="I58" s="64"/>
      <c r="J58" s="64"/>
      <c r="K58" s="64"/>
      <c r="L58" s="64"/>
      <c r="M58" s="64"/>
      <c r="N58" s="64"/>
      <c r="O58" s="37">
        <f t="shared" si="15"/>
        <v>89.4</v>
      </c>
    </row>
    <row r="59" spans="1:15" ht="41.4">
      <c r="A59" s="11" t="s">
        <v>281</v>
      </c>
      <c r="B59" s="11" t="s">
        <v>92</v>
      </c>
      <c r="C59" s="11" t="s">
        <v>59</v>
      </c>
      <c r="D59" s="1" t="s">
        <v>94</v>
      </c>
      <c r="E59" s="58">
        <v>89.4</v>
      </c>
      <c r="F59" s="58">
        <v>89.4</v>
      </c>
      <c r="G59" s="58"/>
      <c r="H59" s="58"/>
      <c r="I59" s="58"/>
      <c r="J59" s="58"/>
      <c r="K59" s="58"/>
      <c r="L59" s="58"/>
      <c r="M59" s="58"/>
      <c r="N59" s="58"/>
      <c r="O59" s="62">
        <f t="shared" si="15"/>
        <v>89.4</v>
      </c>
    </row>
    <row r="60" spans="1:15" ht="27.6">
      <c r="A60" s="12" t="s">
        <v>288</v>
      </c>
      <c r="B60" s="12"/>
      <c r="C60" s="12"/>
      <c r="D60" s="22" t="s">
        <v>31</v>
      </c>
      <c r="E60" s="60">
        <f>E61</f>
        <v>770.19999999999993</v>
      </c>
      <c r="F60" s="60">
        <f t="shared" ref="F60:O60" si="16">F61</f>
        <v>912.19999999999993</v>
      </c>
      <c r="G60" s="60">
        <f t="shared" si="16"/>
        <v>0</v>
      </c>
      <c r="H60" s="60">
        <f t="shared" si="16"/>
        <v>150</v>
      </c>
      <c r="I60" s="60">
        <f t="shared" si="16"/>
        <v>0</v>
      </c>
      <c r="J60" s="60">
        <f t="shared" si="16"/>
        <v>-198.7</v>
      </c>
      <c r="K60" s="60">
        <f t="shared" si="16"/>
        <v>0</v>
      </c>
      <c r="L60" s="60">
        <f t="shared" si="16"/>
        <v>150</v>
      </c>
      <c r="M60" s="60">
        <f t="shared" si="16"/>
        <v>150</v>
      </c>
      <c r="N60" s="60">
        <f t="shared" si="16"/>
        <v>150</v>
      </c>
      <c r="O60" s="37">
        <f t="shared" si="16"/>
        <v>920.19999999999993</v>
      </c>
    </row>
    <row r="61" spans="1:15" ht="27.6">
      <c r="A61" s="11" t="s">
        <v>289</v>
      </c>
      <c r="B61" s="11"/>
      <c r="C61" s="11"/>
      <c r="D61" s="22" t="s">
        <v>31</v>
      </c>
      <c r="E61" s="64">
        <f>E62+E63+E64+E65</f>
        <v>770.19999999999993</v>
      </c>
      <c r="F61" s="64">
        <f t="shared" ref="F61:G61" si="17">F62+F63+F64+F65</f>
        <v>912.19999999999993</v>
      </c>
      <c r="G61" s="64">
        <f t="shared" si="17"/>
        <v>0</v>
      </c>
      <c r="H61" s="64">
        <f>I61+L61</f>
        <v>150</v>
      </c>
      <c r="I61" s="64">
        <f>I62+I63+I64+I65</f>
        <v>0</v>
      </c>
      <c r="J61" s="64">
        <f t="shared" ref="J61:N61" si="18">J62+J63+J64+J65</f>
        <v>-198.7</v>
      </c>
      <c r="K61" s="64">
        <f t="shared" si="18"/>
        <v>0</v>
      </c>
      <c r="L61" s="64">
        <f t="shared" si="18"/>
        <v>150</v>
      </c>
      <c r="M61" s="64">
        <f t="shared" si="18"/>
        <v>150</v>
      </c>
      <c r="N61" s="64">
        <f t="shared" si="18"/>
        <v>150</v>
      </c>
      <c r="O61" s="37">
        <f t="shared" si="15"/>
        <v>920.19999999999993</v>
      </c>
    </row>
    <row r="62" spans="1:15" ht="41.4">
      <c r="A62" s="11" t="s">
        <v>290</v>
      </c>
      <c r="B62" s="11" t="s">
        <v>92</v>
      </c>
      <c r="C62" s="11" t="s">
        <v>59</v>
      </c>
      <c r="D62" s="1" t="s">
        <v>94</v>
      </c>
      <c r="E62" s="58">
        <v>51.7</v>
      </c>
      <c r="F62" s="58">
        <v>51.7</v>
      </c>
      <c r="G62" s="58"/>
      <c r="H62" s="58"/>
      <c r="I62" s="58"/>
      <c r="J62" s="58"/>
      <c r="K62" s="58"/>
      <c r="L62" s="58"/>
      <c r="M62" s="58"/>
      <c r="N62" s="58"/>
      <c r="O62" s="62">
        <f t="shared" si="15"/>
        <v>51.7</v>
      </c>
    </row>
    <row r="63" spans="1:15" ht="27.6">
      <c r="A63" s="11" t="s">
        <v>296</v>
      </c>
      <c r="B63" s="11" t="s">
        <v>297</v>
      </c>
      <c r="C63" s="11" t="s">
        <v>298</v>
      </c>
      <c r="D63" s="33" t="s">
        <v>21</v>
      </c>
      <c r="E63" s="31">
        <v>12.7</v>
      </c>
      <c r="F63" s="31">
        <v>162.69999999999999</v>
      </c>
      <c r="G63" s="31"/>
      <c r="H63" s="31">
        <f>I63+L63</f>
        <v>150</v>
      </c>
      <c r="I63" s="31"/>
      <c r="J63" s="31"/>
      <c r="K63" s="31"/>
      <c r="L63" s="31">
        <v>150</v>
      </c>
      <c r="M63" s="31">
        <v>150</v>
      </c>
      <c r="N63" s="31">
        <v>150</v>
      </c>
      <c r="O63" s="32">
        <f t="shared" si="15"/>
        <v>162.69999999999999</v>
      </c>
    </row>
    <row r="64" spans="1:15">
      <c r="A64" s="11" t="s">
        <v>299</v>
      </c>
      <c r="B64" s="11" t="s">
        <v>300</v>
      </c>
      <c r="C64" s="11" t="s">
        <v>108</v>
      </c>
      <c r="D64" s="33" t="s">
        <v>22</v>
      </c>
      <c r="E64" s="31">
        <v>637.79999999999995</v>
      </c>
      <c r="F64" s="31">
        <v>697.8</v>
      </c>
      <c r="G64" s="31"/>
      <c r="H64" s="31">
        <f>I64+L64</f>
        <v>0</v>
      </c>
      <c r="I64" s="31"/>
      <c r="J64" s="31">
        <v>-198.7</v>
      </c>
      <c r="K64" s="31"/>
      <c r="L64" s="31"/>
      <c r="M64" s="31"/>
      <c r="N64" s="31"/>
      <c r="O64" s="32">
        <f t="shared" si="15"/>
        <v>637.79999999999995</v>
      </c>
    </row>
    <row r="65" spans="1:15">
      <c r="A65" s="11" t="s">
        <v>301</v>
      </c>
      <c r="B65" s="11" t="s">
        <v>302</v>
      </c>
      <c r="C65" s="11" t="s">
        <v>303</v>
      </c>
      <c r="D65" s="33" t="s">
        <v>23</v>
      </c>
      <c r="E65" s="31">
        <v>68</v>
      </c>
      <c r="F65" s="31"/>
      <c r="G65" s="31"/>
      <c r="H65" s="31">
        <f>L65+I65</f>
        <v>0</v>
      </c>
      <c r="I65" s="31"/>
      <c r="J65" s="31"/>
      <c r="K65" s="31"/>
      <c r="L65" s="31"/>
      <c r="M65" s="31"/>
      <c r="N65" s="31"/>
      <c r="O65" s="32">
        <f t="shared" si="15"/>
        <v>68</v>
      </c>
    </row>
    <row r="66" spans="1:15" ht="41.4">
      <c r="A66" s="12" t="s">
        <v>304</v>
      </c>
      <c r="B66" s="12"/>
      <c r="C66" s="12"/>
      <c r="D66" s="22" t="s">
        <v>40</v>
      </c>
      <c r="E66" s="34">
        <f>E67</f>
        <v>161</v>
      </c>
      <c r="F66" s="34">
        <f t="shared" ref="F66:N67" si="19">F67</f>
        <v>161</v>
      </c>
      <c r="G66" s="34">
        <f t="shared" si="19"/>
        <v>0</v>
      </c>
      <c r="H66" s="34">
        <f t="shared" si="19"/>
        <v>1840</v>
      </c>
      <c r="I66" s="34">
        <f t="shared" si="19"/>
        <v>0</v>
      </c>
      <c r="J66" s="34">
        <f t="shared" si="19"/>
        <v>0</v>
      </c>
      <c r="K66" s="34">
        <f t="shared" si="19"/>
        <v>0</v>
      </c>
      <c r="L66" s="34">
        <f t="shared" si="19"/>
        <v>1840</v>
      </c>
      <c r="M66" s="34">
        <f t="shared" si="19"/>
        <v>2000</v>
      </c>
      <c r="N66" s="34">
        <f t="shared" si="19"/>
        <v>2000</v>
      </c>
      <c r="O66" s="66">
        <f t="shared" si="15"/>
        <v>2001</v>
      </c>
    </row>
    <row r="67" spans="1:15" ht="41.4">
      <c r="A67" s="12" t="s">
        <v>305</v>
      </c>
      <c r="B67" s="11"/>
      <c r="C67" s="11"/>
      <c r="D67" s="22" t="s">
        <v>40</v>
      </c>
      <c r="E67" s="64">
        <f>E68</f>
        <v>161</v>
      </c>
      <c r="F67" s="64">
        <f t="shared" si="19"/>
        <v>161</v>
      </c>
      <c r="G67" s="64">
        <f t="shared" si="19"/>
        <v>0</v>
      </c>
      <c r="H67" s="64">
        <f>I67+L67</f>
        <v>1840</v>
      </c>
      <c r="I67" s="64">
        <f>I68</f>
        <v>0</v>
      </c>
      <c r="J67" s="64">
        <f>J68</f>
        <v>0</v>
      </c>
      <c r="K67" s="64">
        <f>K68</f>
        <v>0</v>
      </c>
      <c r="L67" s="64">
        <f>L68+L69+L70</f>
        <v>1840</v>
      </c>
      <c r="M67" s="64">
        <f t="shared" ref="M67:N67" si="20">M68+M69+M70</f>
        <v>2000</v>
      </c>
      <c r="N67" s="64">
        <f t="shared" si="20"/>
        <v>2000</v>
      </c>
      <c r="O67" s="66">
        <f>E67+H67</f>
        <v>2001</v>
      </c>
    </row>
    <row r="68" spans="1:15" ht="41.4">
      <c r="A68" s="11" t="s">
        <v>306</v>
      </c>
      <c r="B68" s="11" t="s">
        <v>92</v>
      </c>
      <c r="C68" s="11" t="s">
        <v>59</v>
      </c>
      <c r="D68" s="1" t="s">
        <v>94</v>
      </c>
      <c r="E68" s="58">
        <v>161</v>
      </c>
      <c r="F68" s="58">
        <v>161</v>
      </c>
      <c r="G68" s="58"/>
      <c r="H68" s="58"/>
      <c r="I68" s="58"/>
      <c r="J68" s="58"/>
      <c r="K68" s="58"/>
      <c r="L68" s="58"/>
      <c r="M68" s="58"/>
      <c r="N68" s="58"/>
      <c r="O68" s="62">
        <f>E68+H68</f>
        <v>161</v>
      </c>
    </row>
    <row r="69" spans="1:15" ht="36.75" customHeight="1">
      <c r="A69" s="11" t="s">
        <v>446</v>
      </c>
      <c r="B69" s="11" t="s">
        <v>447</v>
      </c>
      <c r="C69" s="11" t="s">
        <v>309</v>
      </c>
      <c r="D69" s="16" t="s">
        <v>448</v>
      </c>
      <c r="E69" s="61"/>
      <c r="F69" s="61"/>
      <c r="G69" s="61"/>
      <c r="H69" s="58">
        <f>I69+L69</f>
        <v>2000</v>
      </c>
      <c r="I69" s="61"/>
      <c r="J69" s="61"/>
      <c r="K69" s="61"/>
      <c r="L69" s="61">
        <v>2000</v>
      </c>
      <c r="M69" s="61">
        <v>2000</v>
      </c>
      <c r="N69" s="61">
        <v>2000</v>
      </c>
      <c r="O69" s="62">
        <f t="shared" ref="O69:O70" si="21">E69+H69</f>
        <v>2000</v>
      </c>
    </row>
    <row r="70" spans="1:15" ht="30.75" customHeight="1">
      <c r="A70" s="56" t="s">
        <v>333</v>
      </c>
      <c r="B70" s="56" t="s">
        <v>334</v>
      </c>
      <c r="C70" s="56" t="s">
        <v>335</v>
      </c>
      <c r="D70" s="57" t="s">
        <v>25</v>
      </c>
      <c r="E70" s="58"/>
      <c r="F70" s="58"/>
      <c r="G70" s="58"/>
      <c r="H70" s="58">
        <f>I70+L70</f>
        <v>-160</v>
      </c>
      <c r="I70" s="58"/>
      <c r="J70" s="58"/>
      <c r="K70" s="58"/>
      <c r="L70" s="58">
        <v>-160</v>
      </c>
      <c r="M70" s="58"/>
      <c r="N70" s="58"/>
      <c r="O70" s="62">
        <f t="shared" si="21"/>
        <v>-160</v>
      </c>
    </row>
    <row r="71" spans="1:15" ht="41.4">
      <c r="A71" s="12" t="s">
        <v>340</v>
      </c>
      <c r="B71" s="12"/>
      <c r="C71" s="12"/>
      <c r="D71" s="22" t="s">
        <v>41</v>
      </c>
      <c r="E71" s="64">
        <f>E72</f>
        <v>192.5</v>
      </c>
      <c r="F71" s="64">
        <f t="shared" ref="F71:O71" si="22">F72</f>
        <v>192.5</v>
      </c>
      <c r="G71" s="64"/>
      <c r="H71" s="64">
        <f t="shared" si="22"/>
        <v>0</v>
      </c>
      <c r="I71" s="64"/>
      <c r="J71" s="64"/>
      <c r="K71" s="64"/>
      <c r="L71" s="64">
        <f t="shared" si="22"/>
        <v>0</v>
      </c>
      <c r="M71" s="64">
        <f t="shared" si="22"/>
        <v>0</v>
      </c>
      <c r="N71" s="64">
        <f t="shared" si="22"/>
        <v>0</v>
      </c>
      <c r="O71" s="37">
        <f t="shared" si="22"/>
        <v>192.5</v>
      </c>
    </row>
    <row r="72" spans="1:15" ht="41.4">
      <c r="A72" s="12" t="s">
        <v>341</v>
      </c>
      <c r="B72" s="11"/>
      <c r="C72" s="11"/>
      <c r="D72" s="22" t="s">
        <v>41</v>
      </c>
      <c r="E72" s="64">
        <f>E73</f>
        <v>192.5</v>
      </c>
      <c r="F72" s="64">
        <f>F73</f>
        <v>192.5</v>
      </c>
      <c r="G72" s="64"/>
      <c r="H72" s="64">
        <f>I72+L72</f>
        <v>0</v>
      </c>
      <c r="I72" s="64"/>
      <c r="J72" s="64"/>
      <c r="K72" s="64"/>
      <c r="L72" s="64"/>
      <c r="M72" s="64"/>
      <c r="N72" s="64"/>
      <c r="O72" s="37">
        <f t="shared" ref="O72:O88" si="23">E72+H72</f>
        <v>192.5</v>
      </c>
    </row>
    <row r="73" spans="1:15" ht="41.4">
      <c r="A73" s="11" t="s">
        <v>342</v>
      </c>
      <c r="B73" s="11" t="s">
        <v>92</v>
      </c>
      <c r="C73" s="11" t="s">
        <v>59</v>
      </c>
      <c r="D73" s="1" t="s">
        <v>94</v>
      </c>
      <c r="E73" s="58">
        <v>192.5</v>
      </c>
      <c r="F73" s="58">
        <v>192.5</v>
      </c>
      <c r="G73" s="58"/>
      <c r="H73" s="58">
        <f>L73</f>
        <v>0</v>
      </c>
      <c r="I73" s="58"/>
      <c r="J73" s="58"/>
      <c r="K73" s="58"/>
      <c r="L73" s="58"/>
      <c r="M73" s="58"/>
      <c r="N73" s="58"/>
      <c r="O73" s="62">
        <f t="shared" si="23"/>
        <v>192.5</v>
      </c>
    </row>
    <row r="74" spans="1:15" ht="35.25" customHeight="1">
      <c r="A74" s="12" t="s">
        <v>347</v>
      </c>
      <c r="B74" s="12"/>
      <c r="C74" s="12"/>
      <c r="D74" s="22" t="s">
        <v>46</v>
      </c>
      <c r="E74" s="64">
        <f>E75</f>
        <v>86.9</v>
      </c>
      <c r="F74" s="64">
        <f t="shared" ref="F74:O74" si="24">F75</f>
        <v>86.9</v>
      </c>
      <c r="G74" s="64">
        <f t="shared" si="24"/>
        <v>0</v>
      </c>
      <c r="H74" s="64">
        <f t="shared" si="24"/>
        <v>7</v>
      </c>
      <c r="I74" s="64">
        <f t="shared" si="24"/>
        <v>0</v>
      </c>
      <c r="J74" s="64">
        <f t="shared" si="24"/>
        <v>0</v>
      </c>
      <c r="K74" s="64">
        <f t="shared" si="24"/>
        <v>0</v>
      </c>
      <c r="L74" s="64">
        <f t="shared" si="24"/>
        <v>7</v>
      </c>
      <c r="M74" s="64">
        <f t="shared" si="24"/>
        <v>7</v>
      </c>
      <c r="N74" s="64">
        <f t="shared" si="24"/>
        <v>7</v>
      </c>
      <c r="O74" s="37">
        <f t="shared" si="24"/>
        <v>93.9</v>
      </c>
    </row>
    <row r="75" spans="1:15" ht="32.25" customHeight="1">
      <c r="A75" s="12" t="s">
        <v>348</v>
      </c>
      <c r="B75" s="11"/>
      <c r="C75" s="11"/>
      <c r="D75" s="22" t="s">
        <v>46</v>
      </c>
      <c r="E75" s="64">
        <f>E76+E77</f>
        <v>86.9</v>
      </c>
      <c r="F75" s="64">
        <f>F76+F77</f>
        <v>86.9</v>
      </c>
      <c r="G75" s="64"/>
      <c r="H75" s="64">
        <f>I75+L75</f>
        <v>7</v>
      </c>
      <c r="I75" s="64">
        <f>I76+I77</f>
        <v>0</v>
      </c>
      <c r="J75" s="64"/>
      <c r="K75" s="64"/>
      <c r="L75" s="64">
        <f t="shared" ref="L75:N75" si="25">L76+L77</f>
        <v>7</v>
      </c>
      <c r="M75" s="64">
        <f t="shared" si="25"/>
        <v>7</v>
      </c>
      <c r="N75" s="64">
        <f t="shared" si="25"/>
        <v>7</v>
      </c>
      <c r="O75" s="37">
        <f t="shared" si="23"/>
        <v>93.9</v>
      </c>
    </row>
    <row r="76" spans="1:15" ht="41.4">
      <c r="A76" s="11" t="s">
        <v>349</v>
      </c>
      <c r="B76" s="11" t="s">
        <v>92</v>
      </c>
      <c r="C76" s="11" t="s">
        <v>59</v>
      </c>
      <c r="D76" s="1" t="s">
        <v>94</v>
      </c>
      <c r="E76" s="58">
        <v>86.9</v>
      </c>
      <c r="F76" s="58">
        <v>86.9</v>
      </c>
      <c r="G76" s="58"/>
      <c r="H76" s="58">
        <f>I76+L76</f>
        <v>0</v>
      </c>
      <c r="I76" s="58"/>
      <c r="J76" s="58"/>
      <c r="K76" s="58"/>
      <c r="L76" s="58"/>
      <c r="M76" s="58"/>
      <c r="N76" s="58"/>
      <c r="O76" s="62">
        <f t="shared" si="23"/>
        <v>86.9</v>
      </c>
    </row>
    <row r="77" spans="1:15" ht="31.2">
      <c r="A77" s="11" t="s">
        <v>354</v>
      </c>
      <c r="B77" s="11" t="s">
        <v>134</v>
      </c>
      <c r="C77" s="11" t="s">
        <v>137</v>
      </c>
      <c r="D77" s="2" t="s">
        <v>138</v>
      </c>
      <c r="E77" s="58"/>
      <c r="F77" s="58"/>
      <c r="G77" s="58"/>
      <c r="H77" s="58">
        <f>I77+L77</f>
        <v>7</v>
      </c>
      <c r="I77" s="58"/>
      <c r="J77" s="58"/>
      <c r="K77" s="58"/>
      <c r="L77" s="58">
        <v>7</v>
      </c>
      <c r="M77" s="58">
        <v>7</v>
      </c>
      <c r="N77" s="58">
        <v>7</v>
      </c>
      <c r="O77" s="62">
        <f t="shared" si="23"/>
        <v>7</v>
      </c>
    </row>
    <row r="78" spans="1:15" ht="27.6">
      <c r="A78" s="12" t="s">
        <v>365</v>
      </c>
      <c r="B78" s="12"/>
      <c r="C78" s="12"/>
      <c r="D78" s="22" t="s">
        <v>42</v>
      </c>
      <c r="E78" s="64">
        <f>E79</f>
        <v>178.2</v>
      </c>
      <c r="F78" s="64">
        <f t="shared" ref="F78:O78" si="26">F79</f>
        <v>178.2</v>
      </c>
      <c r="G78" s="64">
        <f t="shared" si="26"/>
        <v>0</v>
      </c>
      <c r="H78" s="64">
        <f t="shared" si="26"/>
        <v>0</v>
      </c>
      <c r="I78" s="64">
        <f t="shared" si="26"/>
        <v>0</v>
      </c>
      <c r="J78" s="64">
        <f t="shared" si="26"/>
        <v>0</v>
      </c>
      <c r="K78" s="64">
        <f t="shared" si="26"/>
        <v>0</v>
      </c>
      <c r="L78" s="64">
        <f t="shared" si="26"/>
        <v>0</v>
      </c>
      <c r="M78" s="64">
        <f t="shared" si="26"/>
        <v>0</v>
      </c>
      <c r="N78" s="64">
        <f t="shared" si="26"/>
        <v>0</v>
      </c>
      <c r="O78" s="37">
        <f t="shared" si="26"/>
        <v>178.2</v>
      </c>
    </row>
    <row r="79" spans="1:15" ht="27.6">
      <c r="A79" s="12" t="s">
        <v>366</v>
      </c>
      <c r="B79" s="11"/>
      <c r="C79" s="11"/>
      <c r="D79" s="22" t="s">
        <v>42</v>
      </c>
      <c r="E79" s="64">
        <f>E80</f>
        <v>178.2</v>
      </c>
      <c r="F79" s="64">
        <f>F80</f>
        <v>178.2</v>
      </c>
      <c r="G79" s="64"/>
      <c r="H79" s="64">
        <f>I79+L79</f>
        <v>0</v>
      </c>
      <c r="I79" s="64"/>
      <c r="J79" s="64"/>
      <c r="K79" s="64"/>
      <c r="L79" s="64"/>
      <c r="M79" s="64"/>
      <c r="N79" s="64"/>
      <c r="O79" s="37">
        <f t="shared" si="23"/>
        <v>178.2</v>
      </c>
    </row>
    <row r="80" spans="1:15" ht="41.4">
      <c r="A80" s="11" t="s">
        <v>367</v>
      </c>
      <c r="B80" s="11" t="s">
        <v>92</v>
      </c>
      <c r="C80" s="11" t="s">
        <v>59</v>
      </c>
      <c r="D80" s="1" t="s">
        <v>94</v>
      </c>
      <c r="E80" s="61">
        <v>178.2</v>
      </c>
      <c r="F80" s="61">
        <v>178.2</v>
      </c>
      <c r="G80" s="61"/>
      <c r="H80" s="61"/>
      <c r="I80" s="61"/>
      <c r="J80" s="61"/>
      <c r="K80" s="61"/>
      <c r="L80" s="61"/>
      <c r="M80" s="61"/>
      <c r="N80" s="61"/>
      <c r="O80" s="62">
        <f t="shared" si="23"/>
        <v>178.2</v>
      </c>
    </row>
    <row r="81" spans="1:15" ht="27.6">
      <c r="A81" s="12" t="s">
        <v>369</v>
      </c>
      <c r="B81" s="12"/>
      <c r="C81" s="12"/>
      <c r="D81" s="22" t="s">
        <v>32</v>
      </c>
      <c r="E81" s="64">
        <f>E82</f>
        <v>-2282</v>
      </c>
      <c r="F81" s="64">
        <f t="shared" ref="F81:O81" si="27">F82</f>
        <v>225.4</v>
      </c>
      <c r="G81" s="64">
        <f t="shared" si="27"/>
        <v>0</v>
      </c>
      <c r="H81" s="64">
        <f t="shared" si="27"/>
        <v>135.80000000000001</v>
      </c>
      <c r="I81" s="64">
        <f t="shared" si="27"/>
        <v>0</v>
      </c>
      <c r="J81" s="64">
        <f t="shared" si="27"/>
        <v>0</v>
      </c>
      <c r="K81" s="64">
        <f t="shared" si="27"/>
        <v>0</v>
      </c>
      <c r="L81" s="64">
        <f t="shared" si="27"/>
        <v>135.80000000000001</v>
      </c>
      <c r="M81" s="64">
        <f t="shared" si="27"/>
        <v>135.80000000000001</v>
      </c>
      <c r="N81" s="64">
        <f t="shared" si="27"/>
        <v>135.80000000000001</v>
      </c>
      <c r="O81" s="37">
        <f t="shared" si="27"/>
        <v>-2146.1999999999998</v>
      </c>
    </row>
    <row r="82" spans="1:15" ht="27.6">
      <c r="A82" s="12" t="s">
        <v>370</v>
      </c>
      <c r="B82" s="11"/>
      <c r="C82" s="11"/>
      <c r="D82" s="22" t="s">
        <v>32</v>
      </c>
      <c r="E82" s="64">
        <f>E83+E84+E85</f>
        <v>-2282</v>
      </c>
      <c r="F82" s="64">
        <f>F83+F84+F85</f>
        <v>225.4</v>
      </c>
      <c r="G82" s="64"/>
      <c r="H82" s="64">
        <f>H83+H84+H85</f>
        <v>135.80000000000001</v>
      </c>
      <c r="I82" s="64"/>
      <c r="J82" s="64"/>
      <c r="K82" s="64"/>
      <c r="L82" s="64">
        <f t="shared" ref="L82:N82" si="28">L83+L84+L85</f>
        <v>135.80000000000001</v>
      </c>
      <c r="M82" s="64">
        <f t="shared" si="28"/>
        <v>135.80000000000001</v>
      </c>
      <c r="N82" s="64">
        <f t="shared" si="28"/>
        <v>135.80000000000001</v>
      </c>
      <c r="O82" s="37">
        <f t="shared" si="23"/>
        <v>-2146.1999999999998</v>
      </c>
    </row>
    <row r="83" spans="1:15" ht="41.4">
      <c r="A83" s="11" t="s">
        <v>371</v>
      </c>
      <c r="B83" s="11" t="s">
        <v>92</v>
      </c>
      <c r="C83" s="11" t="s">
        <v>59</v>
      </c>
      <c r="D83" s="1" t="s">
        <v>94</v>
      </c>
      <c r="E83" s="58">
        <v>225.4</v>
      </c>
      <c r="F83" s="58">
        <v>225.4</v>
      </c>
      <c r="G83" s="58"/>
      <c r="H83" s="58">
        <f>I83+L83</f>
        <v>0</v>
      </c>
      <c r="I83" s="58"/>
      <c r="J83" s="58"/>
      <c r="K83" s="58"/>
      <c r="L83" s="58">
        <f>20-20</f>
        <v>0</v>
      </c>
      <c r="M83" s="58">
        <f>20-20</f>
        <v>0</v>
      </c>
      <c r="N83" s="58">
        <f>20-20</f>
        <v>0</v>
      </c>
      <c r="O83" s="62">
        <f t="shared" si="23"/>
        <v>225.4</v>
      </c>
    </row>
    <row r="84" spans="1:15">
      <c r="A84" s="11" t="s">
        <v>407</v>
      </c>
      <c r="B84" s="11" t="s">
        <v>80</v>
      </c>
      <c r="C84" s="11" t="s">
        <v>81</v>
      </c>
      <c r="D84" s="20" t="s">
        <v>12</v>
      </c>
      <c r="E84" s="58">
        <v>-2701.6</v>
      </c>
      <c r="F84" s="58"/>
      <c r="G84" s="58"/>
      <c r="H84" s="58">
        <f>L84</f>
        <v>0</v>
      </c>
      <c r="I84" s="58"/>
      <c r="J84" s="58"/>
      <c r="K84" s="58"/>
      <c r="L84" s="58">
        <f>-2000+2000</f>
        <v>0</v>
      </c>
      <c r="M84" s="58">
        <f>L84</f>
        <v>0</v>
      </c>
      <c r="N84" s="58">
        <f>M84</f>
        <v>0</v>
      </c>
      <c r="O84" s="62">
        <f t="shared" si="23"/>
        <v>-2701.6</v>
      </c>
    </row>
    <row r="85" spans="1:15" ht="69" customHeight="1">
      <c r="A85" s="11" t="s">
        <v>425</v>
      </c>
      <c r="B85" s="11" t="s">
        <v>424</v>
      </c>
      <c r="C85" s="11" t="s">
        <v>81</v>
      </c>
      <c r="D85" s="55" t="s">
        <v>451</v>
      </c>
      <c r="E85" s="58">
        <f>E86+E87</f>
        <v>194.2</v>
      </c>
      <c r="F85" s="58"/>
      <c r="G85" s="58"/>
      <c r="H85" s="58">
        <f>L85</f>
        <v>135.80000000000001</v>
      </c>
      <c r="I85" s="58"/>
      <c r="J85" s="58"/>
      <c r="K85" s="58"/>
      <c r="L85" s="58">
        <v>135.80000000000001</v>
      </c>
      <c r="M85" s="58">
        <v>135.80000000000001</v>
      </c>
      <c r="N85" s="58">
        <v>135.80000000000001</v>
      </c>
      <c r="O85" s="62">
        <f t="shared" ref="O85:O87" si="29">E85+H85</f>
        <v>330</v>
      </c>
    </row>
    <row r="86" spans="1:15" ht="78">
      <c r="A86" s="11"/>
      <c r="B86" s="11"/>
      <c r="C86" s="11"/>
      <c r="D86" s="135" t="s">
        <v>456</v>
      </c>
      <c r="E86" s="174">
        <v>244.2</v>
      </c>
      <c r="F86" s="174"/>
      <c r="G86" s="174"/>
      <c r="H86" s="174">
        <f>I86+L86</f>
        <v>135.80000000000001</v>
      </c>
      <c r="I86" s="174"/>
      <c r="J86" s="174"/>
      <c r="K86" s="174"/>
      <c r="L86" s="174">
        <v>135.80000000000001</v>
      </c>
      <c r="M86" s="174">
        <v>135.80000000000001</v>
      </c>
      <c r="N86" s="174">
        <v>135.80000000000001</v>
      </c>
      <c r="O86" s="136">
        <f t="shared" si="29"/>
        <v>380</v>
      </c>
    </row>
    <row r="87" spans="1:15" ht="156">
      <c r="A87" s="11"/>
      <c r="B87" s="11"/>
      <c r="C87" s="11"/>
      <c r="D87" s="135" t="s">
        <v>433</v>
      </c>
      <c r="E87" s="174">
        <v>-50</v>
      </c>
      <c r="F87" s="174"/>
      <c r="G87" s="174"/>
      <c r="H87" s="174"/>
      <c r="I87" s="174"/>
      <c r="J87" s="174"/>
      <c r="K87" s="174"/>
      <c r="L87" s="174"/>
      <c r="M87" s="174"/>
      <c r="N87" s="174"/>
      <c r="O87" s="136">
        <f t="shared" si="29"/>
        <v>-50</v>
      </c>
    </row>
    <row r="88" spans="1:15">
      <c r="A88" s="35"/>
      <c r="B88" s="35"/>
      <c r="C88" s="35"/>
      <c r="D88" s="36"/>
      <c r="E88" s="44">
        <f>E14+E21+E24+E27+E30+E36+E39+E57+E60+E66+E71+E74+E78+E81</f>
        <v>20717.744550000003</v>
      </c>
      <c r="F88" s="37">
        <f>F14+F21+F24+F27+F30+F36+F39+F57+F60+F66+F71+F74+F78+F81</f>
        <v>18775.600000000006</v>
      </c>
      <c r="G88" s="37">
        <f>G14+G21+G24+G27+G30+G36+G39+G57+G60+G66+G71+G74+G78+G81</f>
        <v>0</v>
      </c>
      <c r="H88" s="44">
        <f>I88+L88</f>
        <v>3691.0086499999998</v>
      </c>
      <c r="I88" s="44">
        <f t="shared" ref="I88:N88" si="30">I14+I21+I24+I27+I30+I36+I39+I57+I60+I66+I71+I74+I78+I81</f>
        <v>1517.7076500000001</v>
      </c>
      <c r="J88" s="37">
        <f t="shared" si="30"/>
        <v>-131.87700000000001</v>
      </c>
      <c r="K88" s="37">
        <f t="shared" si="30"/>
        <v>0</v>
      </c>
      <c r="L88" s="37">
        <f t="shared" si="30"/>
        <v>2173.3009999999999</v>
      </c>
      <c r="M88" s="37">
        <f t="shared" si="30"/>
        <v>2292.8000000000002</v>
      </c>
      <c r="N88" s="37">
        <f t="shared" si="30"/>
        <v>2292.8000000000002</v>
      </c>
      <c r="O88" s="44">
        <f t="shared" si="23"/>
        <v>24408.753200000003</v>
      </c>
    </row>
    <row r="89" spans="1:15" s="43" customFormat="1">
      <c r="A89" s="87"/>
      <c r="B89" s="87"/>
      <c r="C89" s="87"/>
    </row>
    <row r="90" spans="1:15" s="43" customFormat="1" ht="18">
      <c r="A90" s="87"/>
      <c r="B90" s="87"/>
      <c r="C90" s="87"/>
      <c r="D90" s="130" t="s">
        <v>403</v>
      </c>
      <c r="E90" s="131"/>
      <c r="F90" s="131" t="s">
        <v>458</v>
      </c>
      <c r="G90" s="131"/>
      <c r="H90" s="131"/>
      <c r="I90" s="131"/>
      <c r="J90" s="131"/>
      <c r="K90" s="131"/>
      <c r="L90" s="131"/>
      <c r="M90" s="131"/>
      <c r="N90" s="131"/>
    </row>
    <row r="91" spans="1:15">
      <c r="E91" s="39"/>
      <c r="F91" s="39"/>
    </row>
    <row r="92" spans="1:15">
      <c r="E92" s="39"/>
    </row>
    <row r="96" spans="1:15">
      <c r="F96" s="39"/>
    </row>
    <row r="97" spans="6:6">
      <c r="F97" s="39"/>
    </row>
  </sheetData>
  <mergeCells count="37">
    <mergeCell ref="N44:N45"/>
    <mergeCell ref="O44:O45"/>
    <mergeCell ref="A44:A45"/>
    <mergeCell ref="B44:B45"/>
    <mergeCell ref="C44:C45"/>
    <mergeCell ref="I44:I45"/>
    <mergeCell ref="J44:J45"/>
    <mergeCell ref="K44:K45"/>
    <mergeCell ref="L44:L45"/>
    <mergeCell ref="M44:M45"/>
    <mergeCell ref="D44:D45"/>
    <mergeCell ref="E44:E45"/>
    <mergeCell ref="F44:F45"/>
    <mergeCell ref="G44:G45"/>
    <mergeCell ref="H44:H45"/>
    <mergeCell ref="B5:O5"/>
    <mergeCell ref="A6:O6"/>
    <mergeCell ref="D7:O7"/>
    <mergeCell ref="A9:A12"/>
    <mergeCell ref="B9:B12"/>
    <mergeCell ref="C9:C12"/>
    <mergeCell ref="D9:D12"/>
    <mergeCell ref="E9:G9"/>
    <mergeCell ref="H9:N9"/>
    <mergeCell ref="O9:O12"/>
    <mergeCell ref="E10:E12"/>
    <mergeCell ref="F10:G10"/>
    <mergeCell ref="H10:H12"/>
    <mergeCell ref="I10:I12"/>
    <mergeCell ref="J10:K10"/>
    <mergeCell ref="L10:L12"/>
    <mergeCell ref="M10:N10"/>
    <mergeCell ref="F11:F12"/>
    <mergeCell ref="G11:G12"/>
    <mergeCell ref="J11:J12"/>
    <mergeCell ref="K11:K12"/>
    <mergeCell ref="M11:M12"/>
  </mergeCells>
  <pageMargins left="0.70866141732283472" right="0.70866141732283472" top="0.74803149606299213" bottom="0.74803149606299213" header="0.31496062992125984" footer="0.31496062992125984"/>
  <pageSetup paperSize="9" scale="54" orientation="landscape" r:id="rId1"/>
  <rowBreaks count="1" manualBreakCount="1">
    <brk id="26" max="14" man="1"/>
  </rowBreaks>
</worksheet>
</file>

<file path=xl/worksheets/sheet2.xml><?xml version="1.0" encoding="utf-8"?>
<worksheet xmlns="http://schemas.openxmlformats.org/spreadsheetml/2006/main" xmlns:r="http://schemas.openxmlformats.org/officeDocument/2006/relationships">
  <sheetPr>
    <pageSetUpPr fitToPage="1"/>
  </sheetPr>
  <dimension ref="A1:R217"/>
  <sheetViews>
    <sheetView view="pageBreakPreview" zoomScale="80" zoomScaleNormal="90" zoomScaleSheetLayoutView="80" workbookViewId="0">
      <pane xSplit="4" ySplit="13" topLeftCell="J196" activePane="bottomRight" state="frozen"/>
      <selection pane="topRight" activeCell="E1" sqref="E1"/>
      <selection pane="bottomLeft" activeCell="A13" sqref="A13"/>
      <selection pane="bottomRight" activeCell="I199" sqref="I199"/>
    </sheetView>
  </sheetViews>
  <sheetFormatPr defaultColWidth="9.109375" defaultRowHeight="14.4"/>
  <cols>
    <col min="1" max="3" width="9.109375" style="87"/>
    <col min="4" max="4" width="47" style="43" customWidth="1"/>
    <col min="5" max="5" width="16.6640625" style="43" customWidth="1"/>
    <col min="6" max="6" width="16.88671875" style="43" customWidth="1"/>
    <col min="7" max="7" width="12.109375" style="43" customWidth="1"/>
    <col min="8" max="8" width="15.5546875" style="43" customWidth="1"/>
    <col min="9" max="9" width="15" style="43" customWidth="1"/>
    <col min="10" max="10" width="12.6640625" style="43" customWidth="1"/>
    <col min="11" max="11" width="11" style="43" customWidth="1"/>
    <col min="12" max="12" width="14" style="43" customWidth="1"/>
    <col min="13" max="13" width="16.33203125" style="43" customWidth="1"/>
    <col min="14" max="14" width="15.6640625" style="43" customWidth="1"/>
    <col min="15" max="15" width="15.88671875" style="43" customWidth="1"/>
    <col min="16" max="16" width="11" style="43" bestFit="1" customWidth="1"/>
    <col min="17" max="17" width="12" style="43" bestFit="1" customWidth="1"/>
    <col min="18" max="16384" width="9.109375" style="43"/>
  </cols>
  <sheetData>
    <row r="1" spans="1:16">
      <c r="A1" s="83"/>
      <c r="B1" s="83"/>
      <c r="C1" s="83"/>
      <c r="D1" s="84"/>
      <c r="E1" s="85"/>
      <c r="F1" s="85"/>
      <c r="G1" s="85"/>
      <c r="H1" s="85"/>
      <c r="I1" s="85"/>
      <c r="J1" s="85"/>
      <c r="K1" s="85"/>
      <c r="L1" s="85" t="s">
        <v>49</v>
      </c>
      <c r="M1" s="85"/>
      <c r="N1" s="85"/>
      <c r="O1" s="85"/>
    </row>
    <row r="2" spans="1:16">
      <c r="A2" s="83"/>
      <c r="B2" s="83"/>
      <c r="C2" s="83"/>
      <c r="D2" s="84"/>
      <c r="E2" s="85"/>
      <c r="F2" s="85"/>
      <c r="G2" s="85"/>
      <c r="H2" s="85"/>
      <c r="I2" s="85"/>
      <c r="J2" s="85"/>
      <c r="K2" s="85"/>
      <c r="L2" s="86" t="s">
        <v>402</v>
      </c>
      <c r="M2" s="86"/>
      <c r="N2" s="85"/>
      <c r="O2" s="85"/>
    </row>
    <row r="3" spans="1:16">
      <c r="D3" s="84"/>
      <c r="E3" s="85"/>
      <c r="F3" s="85"/>
      <c r="G3" s="85"/>
      <c r="H3" s="85"/>
      <c r="I3" s="85"/>
      <c r="J3" s="85"/>
      <c r="K3" s="85"/>
      <c r="L3" s="86" t="s">
        <v>405</v>
      </c>
      <c r="M3" s="86"/>
      <c r="N3" s="85"/>
      <c r="O3" s="85"/>
    </row>
    <row r="4" spans="1:16">
      <c r="D4" s="84"/>
      <c r="E4" s="85"/>
      <c r="F4" s="85"/>
      <c r="G4" s="85"/>
      <c r="H4" s="85"/>
      <c r="I4" s="85"/>
      <c r="J4" s="85"/>
      <c r="K4" s="85"/>
      <c r="L4" s="86"/>
      <c r="M4" s="86"/>
      <c r="N4" s="85"/>
      <c r="O4" s="85"/>
    </row>
    <row r="5" spans="1:16">
      <c r="B5" s="167"/>
      <c r="C5" s="167"/>
      <c r="D5" s="167"/>
      <c r="E5" s="167"/>
      <c r="F5" s="167"/>
      <c r="G5" s="167"/>
      <c r="H5" s="167"/>
      <c r="I5" s="167"/>
      <c r="J5" s="167"/>
      <c r="K5" s="167"/>
      <c r="L5" s="167"/>
      <c r="M5" s="167"/>
      <c r="N5" s="167"/>
      <c r="O5" s="167"/>
    </row>
    <row r="6" spans="1:16" ht="20.399999999999999">
      <c r="A6" s="169" t="s">
        <v>401</v>
      </c>
      <c r="B6" s="169"/>
      <c r="C6" s="169"/>
      <c r="D6" s="169"/>
      <c r="E6" s="169"/>
      <c r="F6" s="169"/>
      <c r="G6" s="169"/>
      <c r="H6" s="169"/>
      <c r="I6" s="169"/>
      <c r="J6" s="169"/>
      <c r="K6" s="169"/>
      <c r="L6" s="169"/>
      <c r="M6" s="169"/>
      <c r="N6" s="169"/>
      <c r="O6" s="169"/>
    </row>
    <row r="7" spans="1:16">
      <c r="D7" s="168"/>
      <c r="E7" s="168"/>
      <c r="F7" s="168"/>
      <c r="G7" s="168"/>
      <c r="H7" s="168"/>
      <c r="I7" s="168"/>
      <c r="J7" s="168"/>
      <c r="K7" s="168"/>
      <c r="L7" s="168"/>
      <c r="M7" s="168"/>
      <c r="N7" s="168"/>
      <c r="O7" s="168"/>
    </row>
    <row r="8" spans="1:16">
      <c r="D8" s="88"/>
      <c r="E8" s="88"/>
      <c r="F8" s="88"/>
      <c r="G8" s="88"/>
      <c r="H8" s="88"/>
      <c r="I8" s="88"/>
      <c r="J8" s="88"/>
      <c r="K8" s="88"/>
      <c r="L8" s="88"/>
      <c r="M8" s="88"/>
      <c r="N8" s="88"/>
      <c r="O8" s="89" t="s">
        <v>0</v>
      </c>
    </row>
    <row r="9" spans="1:16" ht="15" customHeight="1">
      <c r="A9" s="170" t="s">
        <v>50</v>
      </c>
      <c r="B9" s="170" t="s">
        <v>51</v>
      </c>
      <c r="C9" s="173" t="s">
        <v>52</v>
      </c>
      <c r="D9" s="165" t="s">
        <v>54</v>
      </c>
      <c r="E9" s="166" t="s">
        <v>1</v>
      </c>
      <c r="F9" s="166"/>
      <c r="G9" s="166"/>
      <c r="H9" s="166" t="s">
        <v>6</v>
      </c>
      <c r="I9" s="166"/>
      <c r="J9" s="166"/>
      <c r="K9" s="166"/>
      <c r="L9" s="166"/>
      <c r="M9" s="166"/>
      <c r="N9" s="166"/>
      <c r="O9" s="166" t="s">
        <v>11</v>
      </c>
    </row>
    <row r="10" spans="1:16">
      <c r="A10" s="171"/>
      <c r="B10" s="171"/>
      <c r="C10" s="173"/>
      <c r="D10" s="165"/>
      <c r="E10" s="166" t="s">
        <v>2</v>
      </c>
      <c r="F10" s="166" t="s">
        <v>3</v>
      </c>
      <c r="G10" s="166"/>
      <c r="H10" s="166" t="s">
        <v>2</v>
      </c>
      <c r="I10" s="166" t="s">
        <v>7</v>
      </c>
      <c r="J10" s="166" t="s">
        <v>3</v>
      </c>
      <c r="K10" s="166"/>
      <c r="L10" s="166" t="s">
        <v>8</v>
      </c>
      <c r="M10" s="166" t="s">
        <v>3</v>
      </c>
      <c r="N10" s="166"/>
      <c r="O10" s="166"/>
    </row>
    <row r="11" spans="1:16" ht="15" customHeight="1">
      <c r="A11" s="171"/>
      <c r="B11" s="171"/>
      <c r="C11" s="173"/>
      <c r="D11" s="165"/>
      <c r="E11" s="166"/>
      <c r="F11" s="166" t="s">
        <v>4</v>
      </c>
      <c r="G11" s="166" t="s">
        <v>5</v>
      </c>
      <c r="H11" s="166"/>
      <c r="I11" s="166"/>
      <c r="J11" s="166" t="s">
        <v>4</v>
      </c>
      <c r="K11" s="166" t="s">
        <v>5</v>
      </c>
      <c r="L11" s="166"/>
      <c r="M11" s="166" t="s">
        <v>9</v>
      </c>
      <c r="N11" s="90" t="s">
        <v>3</v>
      </c>
      <c r="O11" s="166"/>
    </row>
    <row r="12" spans="1:16" ht="57.6">
      <c r="A12" s="172"/>
      <c r="B12" s="172"/>
      <c r="C12" s="173"/>
      <c r="D12" s="165"/>
      <c r="E12" s="166"/>
      <c r="F12" s="166"/>
      <c r="G12" s="166"/>
      <c r="H12" s="166"/>
      <c r="I12" s="166"/>
      <c r="J12" s="166"/>
      <c r="K12" s="166"/>
      <c r="L12" s="166"/>
      <c r="M12" s="166"/>
      <c r="N12" s="91" t="s">
        <v>10</v>
      </c>
      <c r="O12" s="166"/>
    </row>
    <row r="13" spans="1:16">
      <c r="A13" s="40">
        <v>1</v>
      </c>
      <c r="B13" s="40">
        <v>2</v>
      </c>
      <c r="C13" s="40">
        <v>3</v>
      </c>
      <c r="D13" s="90">
        <v>4</v>
      </c>
      <c r="E13" s="90">
        <v>5</v>
      </c>
      <c r="F13" s="90">
        <v>6</v>
      </c>
      <c r="G13" s="90">
        <v>7</v>
      </c>
      <c r="H13" s="90">
        <v>8</v>
      </c>
      <c r="I13" s="90">
        <v>9</v>
      </c>
      <c r="J13" s="90">
        <v>10</v>
      </c>
      <c r="K13" s="90">
        <v>11</v>
      </c>
      <c r="L13" s="90">
        <v>12</v>
      </c>
      <c r="M13" s="90">
        <v>13</v>
      </c>
      <c r="N13" s="90">
        <v>14</v>
      </c>
      <c r="O13" s="90" t="s">
        <v>53</v>
      </c>
    </row>
    <row r="14" spans="1:16" s="94" customFormat="1" ht="27.6">
      <c r="A14" s="29" t="s">
        <v>55</v>
      </c>
      <c r="B14" s="29"/>
      <c r="C14" s="29"/>
      <c r="D14" s="92" t="s">
        <v>44</v>
      </c>
      <c r="E14" s="93">
        <f>E15</f>
        <v>122896.3</v>
      </c>
      <c r="F14" s="93">
        <f t="shared" ref="F14:N14" si="0">F15</f>
        <v>87814.9</v>
      </c>
      <c r="G14" s="93">
        <f t="shared" si="0"/>
        <v>8222.4</v>
      </c>
      <c r="H14" s="93">
        <f t="shared" si="0"/>
        <v>17453.968649999999</v>
      </c>
      <c r="I14" s="93">
        <f t="shared" si="0"/>
        <v>8484.4676500000005</v>
      </c>
      <c r="J14" s="93">
        <f t="shared" si="0"/>
        <v>4799</v>
      </c>
      <c r="K14" s="93">
        <f t="shared" si="0"/>
        <v>488.09999999999997</v>
      </c>
      <c r="L14" s="93">
        <f t="shared" si="0"/>
        <v>8969.5010000000002</v>
      </c>
      <c r="M14" s="93">
        <f t="shared" si="0"/>
        <v>8890</v>
      </c>
      <c r="N14" s="93">
        <f t="shared" si="0"/>
        <v>8890</v>
      </c>
      <c r="O14" s="50">
        <f>E14+H14</f>
        <v>140350.26865000001</v>
      </c>
    </row>
    <row r="15" spans="1:16" ht="27.6">
      <c r="A15" s="29" t="s">
        <v>56</v>
      </c>
      <c r="B15" s="40"/>
      <c r="C15" s="40"/>
      <c r="D15" s="92" t="s">
        <v>44</v>
      </c>
      <c r="E15" s="50">
        <f>E16+E17+E18+E19+E22+E23+E25+E28+E29+E24+E20+E30</f>
        <v>122896.3</v>
      </c>
      <c r="F15" s="50">
        <f t="shared" ref="F15:N15" si="1">F16+F17+F18+F19+F22+F23+F25+F28+F29+F24+F20+F30</f>
        <v>87814.9</v>
      </c>
      <c r="G15" s="50">
        <f t="shared" si="1"/>
        <v>8222.4</v>
      </c>
      <c r="H15" s="50">
        <f t="shared" si="1"/>
        <v>17453.968649999999</v>
      </c>
      <c r="I15" s="50">
        <f t="shared" si="1"/>
        <v>8484.4676500000005</v>
      </c>
      <c r="J15" s="50">
        <f t="shared" si="1"/>
        <v>4799</v>
      </c>
      <c r="K15" s="50">
        <f t="shared" si="1"/>
        <v>488.09999999999997</v>
      </c>
      <c r="L15" s="50">
        <f t="shared" si="1"/>
        <v>8969.5010000000002</v>
      </c>
      <c r="M15" s="50">
        <f t="shared" si="1"/>
        <v>8890</v>
      </c>
      <c r="N15" s="50">
        <f t="shared" si="1"/>
        <v>8890</v>
      </c>
      <c r="O15" s="50">
        <f>E15+H15</f>
        <v>140350.26865000001</v>
      </c>
    </row>
    <row r="16" spans="1:16" ht="69">
      <c r="A16" s="40" t="s">
        <v>57</v>
      </c>
      <c r="B16" s="40" t="s">
        <v>58</v>
      </c>
      <c r="C16" s="40" t="s">
        <v>59</v>
      </c>
      <c r="D16" s="80" t="s">
        <v>60</v>
      </c>
      <c r="E16" s="42">
        <f>14113+32+2333.9</f>
        <v>16478.900000000001</v>
      </c>
      <c r="F16" s="42">
        <f>10314.1+32+2333.9</f>
        <v>12680</v>
      </c>
      <c r="G16" s="42">
        <v>1624.5</v>
      </c>
      <c r="H16" s="42">
        <f>I16+L16</f>
        <v>935</v>
      </c>
      <c r="I16" s="42">
        <f>121+24</f>
        <v>145</v>
      </c>
      <c r="J16" s="42"/>
      <c r="K16" s="42"/>
      <c r="L16" s="42">
        <f>24+290+500-24</f>
        <v>790</v>
      </c>
      <c r="M16" s="42">
        <f>290+500</f>
        <v>790</v>
      </c>
      <c r="N16" s="42">
        <v>790</v>
      </c>
      <c r="O16" s="42">
        <f>E16+H16</f>
        <v>17413.900000000001</v>
      </c>
      <c r="P16" s="81"/>
    </row>
    <row r="17" spans="1:16" ht="31.2">
      <c r="A17" s="40" t="s">
        <v>393</v>
      </c>
      <c r="B17" s="40" t="s">
        <v>162</v>
      </c>
      <c r="C17" s="40" t="s">
        <v>163</v>
      </c>
      <c r="D17" s="82" t="s">
        <v>164</v>
      </c>
      <c r="E17" s="42">
        <f>83236+4930.2</f>
        <v>88166.2</v>
      </c>
      <c r="F17" s="42">
        <f>63440+4153.5</f>
        <v>67593.5</v>
      </c>
      <c r="G17" s="42">
        <v>6389.5</v>
      </c>
      <c r="H17" s="42">
        <f>I17+L17</f>
        <v>12449.91865</v>
      </c>
      <c r="I17" s="42">
        <f>3145.8+1239.61765</f>
        <v>4385.4176500000003</v>
      </c>
      <c r="J17" s="42">
        <v>2191.3000000000002</v>
      </c>
      <c r="K17" s="42">
        <v>299.89999999999998</v>
      </c>
      <c r="L17" s="42">
        <f>2500+5500+64.501</f>
        <v>8064.5010000000002</v>
      </c>
      <c r="M17" s="42">
        <f>2500+5500</f>
        <v>8000</v>
      </c>
      <c r="N17" s="42">
        <f>2500+5500</f>
        <v>8000</v>
      </c>
      <c r="O17" s="42">
        <f>E17+H17</f>
        <v>100616.11864999999</v>
      </c>
      <c r="P17" s="81"/>
    </row>
    <row r="18" spans="1:16" ht="30" customHeight="1">
      <c r="A18" s="40" t="s">
        <v>394</v>
      </c>
      <c r="B18" s="40" t="s">
        <v>165</v>
      </c>
      <c r="C18" s="40" t="s">
        <v>166</v>
      </c>
      <c r="D18" s="45" t="s">
        <v>167</v>
      </c>
      <c r="E18" s="42">
        <f>6761.8+2220.4</f>
        <v>8982.2000000000007</v>
      </c>
      <c r="F18" s="42">
        <f>5368+2173.4</f>
        <v>7541.4</v>
      </c>
      <c r="G18" s="42">
        <v>208.4</v>
      </c>
      <c r="H18" s="42">
        <f>I18+L18</f>
        <v>3715.2500000000005</v>
      </c>
      <c r="I18" s="42">
        <f>3092.9+600.2+7.15</f>
        <v>3700.2500000000005</v>
      </c>
      <c r="J18" s="42">
        <f>2007.5+600.2</f>
        <v>2607.6999999999998</v>
      </c>
      <c r="K18" s="42">
        <v>188.2</v>
      </c>
      <c r="L18" s="42">
        <v>15</v>
      </c>
      <c r="M18" s="42"/>
      <c r="N18" s="42"/>
      <c r="O18" s="42">
        <f>E18+H18</f>
        <v>12697.45</v>
      </c>
      <c r="P18" s="81"/>
    </row>
    <row r="19" spans="1:16">
      <c r="A19" s="40" t="s">
        <v>62</v>
      </c>
      <c r="B19" s="40" t="s">
        <v>61</v>
      </c>
      <c r="C19" s="40" t="s">
        <v>63</v>
      </c>
      <c r="D19" s="80" t="s">
        <v>14</v>
      </c>
      <c r="E19" s="42">
        <v>2500</v>
      </c>
      <c r="F19" s="42"/>
      <c r="G19" s="42"/>
      <c r="H19" s="42"/>
      <c r="I19" s="42"/>
      <c r="J19" s="42"/>
      <c r="K19" s="42"/>
      <c r="L19" s="42"/>
      <c r="M19" s="42"/>
      <c r="N19" s="42"/>
      <c r="O19" s="42">
        <f t="shared" ref="O19:O86" si="2">E19+H19</f>
        <v>2500</v>
      </c>
    </row>
    <row r="20" spans="1:16" ht="27.6">
      <c r="A20" s="40" t="s">
        <v>427</v>
      </c>
      <c r="B20" s="40" t="s">
        <v>361</v>
      </c>
      <c r="C20" s="40" t="s">
        <v>362</v>
      </c>
      <c r="D20" s="80" t="s">
        <v>29</v>
      </c>
      <c r="E20" s="42">
        <v>130</v>
      </c>
      <c r="F20" s="42"/>
      <c r="G20" s="42"/>
      <c r="H20" s="42"/>
      <c r="I20" s="42"/>
      <c r="J20" s="42"/>
      <c r="K20" s="42"/>
      <c r="L20" s="42"/>
      <c r="M20" s="42"/>
      <c r="N20" s="42"/>
      <c r="O20" s="42">
        <f t="shared" si="2"/>
        <v>130</v>
      </c>
    </row>
    <row r="21" spans="1:16">
      <c r="A21" s="40" t="s">
        <v>65</v>
      </c>
      <c r="B21" s="40" t="s">
        <v>64</v>
      </c>
      <c r="C21" s="40"/>
      <c r="D21" s="49" t="s">
        <v>66</v>
      </c>
      <c r="E21" s="42">
        <f>E22+E23</f>
        <v>2185.5</v>
      </c>
      <c r="F21" s="42"/>
      <c r="G21" s="42"/>
      <c r="H21" s="42"/>
      <c r="I21" s="42"/>
      <c r="J21" s="42"/>
      <c r="K21" s="42"/>
      <c r="L21" s="42"/>
      <c r="M21" s="42"/>
      <c r="N21" s="42"/>
      <c r="O21" s="42">
        <f t="shared" si="2"/>
        <v>2185.5</v>
      </c>
    </row>
    <row r="22" spans="1:16" s="95" customFormat="1">
      <c r="A22" s="46" t="s">
        <v>68</v>
      </c>
      <c r="B22" s="46" t="s">
        <v>67</v>
      </c>
      <c r="C22" s="46" t="s">
        <v>69</v>
      </c>
      <c r="D22" s="52" t="s">
        <v>70</v>
      </c>
      <c r="E22" s="51">
        <v>1108</v>
      </c>
      <c r="F22" s="51"/>
      <c r="G22" s="51"/>
      <c r="H22" s="51"/>
      <c r="I22" s="51"/>
      <c r="J22" s="51"/>
      <c r="K22" s="51"/>
      <c r="L22" s="51"/>
      <c r="M22" s="51"/>
      <c r="N22" s="51"/>
      <c r="O22" s="51">
        <f t="shared" si="2"/>
        <v>1108</v>
      </c>
    </row>
    <row r="23" spans="1:16" s="95" customFormat="1" ht="27.6">
      <c r="A23" s="46" t="s">
        <v>72</v>
      </c>
      <c r="B23" s="46" t="s">
        <v>71</v>
      </c>
      <c r="C23" s="46" t="s">
        <v>69</v>
      </c>
      <c r="D23" s="52" t="s">
        <v>73</v>
      </c>
      <c r="E23" s="51">
        <v>1077.5</v>
      </c>
      <c r="F23" s="51"/>
      <c r="G23" s="51"/>
      <c r="H23" s="51"/>
      <c r="I23" s="51"/>
      <c r="J23" s="51"/>
      <c r="K23" s="51"/>
      <c r="L23" s="51"/>
      <c r="M23" s="51"/>
      <c r="N23" s="51"/>
      <c r="O23" s="51">
        <f t="shared" si="2"/>
        <v>1077.5</v>
      </c>
    </row>
    <row r="24" spans="1:16">
      <c r="A24" s="40" t="s">
        <v>85</v>
      </c>
      <c r="B24" s="40" t="s">
        <v>83</v>
      </c>
      <c r="C24" s="40" t="s">
        <v>84</v>
      </c>
      <c r="D24" s="41" t="s">
        <v>86</v>
      </c>
      <c r="E24" s="42">
        <v>100</v>
      </c>
      <c r="F24" s="42"/>
      <c r="G24" s="42"/>
      <c r="H24" s="42"/>
      <c r="I24" s="42"/>
      <c r="J24" s="42"/>
      <c r="K24" s="42"/>
      <c r="L24" s="42"/>
      <c r="M24" s="42"/>
      <c r="N24" s="42"/>
      <c r="O24" s="42">
        <f t="shared" si="2"/>
        <v>100</v>
      </c>
    </row>
    <row r="25" spans="1:16" ht="27.6">
      <c r="A25" s="40" t="s">
        <v>75</v>
      </c>
      <c r="B25" s="40" t="s">
        <v>74</v>
      </c>
      <c r="C25" s="40" t="s">
        <v>76</v>
      </c>
      <c r="D25" s="80" t="s">
        <v>15</v>
      </c>
      <c r="E25" s="42">
        <f>E27</f>
        <v>2463.1999999999998</v>
      </c>
      <c r="F25" s="42"/>
      <c r="G25" s="42"/>
      <c r="H25" s="42"/>
      <c r="I25" s="42"/>
      <c r="J25" s="42"/>
      <c r="K25" s="42"/>
      <c r="L25" s="42"/>
      <c r="M25" s="42"/>
      <c r="N25" s="42"/>
      <c r="O25" s="42">
        <f t="shared" si="2"/>
        <v>2463.1999999999998</v>
      </c>
    </row>
    <row r="26" spans="1:16">
      <c r="A26" s="40"/>
      <c r="B26" s="40"/>
      <c r="C26" s="40"/>
      <c r="D26" s="80" t="s">
        <v>16</v>
      </c>
      <c r="E26" s="42"/>
      <c r="F26" s="42"/>
      <c r="G26" s="42"/>
      <c r="H26" s="42"/>
      <c r="I26" s="42"/>
      <c r="J26" s="42"/>
      <c r="K26" s="42"/>
      <c r="L26" s="42"/>
      <c r="M26" s="42"/>
      <c r="N26" s="42"/>
      <c r="O26" s="51"/>
    </row>
    <row r="27" spans="1:16" ht="27.6">
      <c r="A27" s="40"/>
      <c r="B27" s="40"/>
      <c r="C27" s="40"/>
      <c r="D27" s="52" t="s">
        <v>17</v>
      </c>
      <c r="E27" s="51">
        <f>2630-166.8</f>
        <v>2463.1999999999998</v>
      </c>
      <c r="F27" s="51"/>
      <c r="G27" s="51"/>
      <c r="H27" s="51"/>
      <c r="I27" s="51"/>
      <c r="J27" s="51"/>
      <c r="K27" s="51"/>
      <c r="L27" s="51"/>
      <c r="M27" s="51"/>
      <c r="N27" s="51"/>
      <c r="O27" s="51">
        <f t="shared" si="2"/>
        <v>2463.1999999999998</v>
      </c>
    </row>
    <row r="28" spans="1:16" ht="27.6">
      <c r="A28" s="40" t="s">
        <v>79</v>
      </c>
      <c r="B28" s="40" t="s">
        <v>77</v>
      </c>
      <c r="C28" s="40" t="s">
        <v>78</v>
      </c>
      <c r="D28" s="80" t="s">
        <v>18</v>
      </c>
      <c r="E28" s="42">
        <v>190.3</v>
      </c>
      <c r="F28" s="42"/>
      <c r="G28" s="42"/>
      <c r="H28" s="42"/>
      <c r="I28" s="42"/>
      <c r="J28" s="42"/>
      <c r="K28" s="42"/>
      <c r="L28" s="42"/>
      <c r="M28" s="42"/>
      <c r="N28" s="42"/>
      <c r="O28" s="42">
        <f t="shared" si="2"/>
        <v>190.3</v>
      </c>
    </row>
    <row r="29" spans="1:16">
      <c r="A29" s="40" t="s">
        <v>82</v>
      </c>
      <c r="B29" s="40" t="s">
        <v>80</v>
      </c>
      <c r="C29" s="40" t="s">
        <v>81</v>
      </c>
      <c r="D29" s="80" t="s">
        <v>12</v>
      </c>
      <c r="E29" s="42">
        <f>1150+500+50</f>
        <v>1700</v>
      </c>
      <c r="F29" s="42"/>
      <c r="G29" s="42"/>
      <c r="H29" s="42">
        <f>L29</f>
        <v>100</v>
      </c>
      <c r="I29" s="42"/>
      <c r="J29" s="42"/>
      <c r="K29" s="42"/>
      <c r="L29" s="42">
        <v>100</v>
      </c>
      <c r="M29" s="42">
        <v>100</v>
      </c>
      <c r="N29" s="42">
        <v>100</v>
      </c>
      <c r="O29" s="42">
        <f t="shared" si="2"/>
        <v>1800</v>
      </c>
    </row>
    <row r="30" spans="1:16" ht="27.6">
      <c r="A30" s="40" t="s">
        <v>428</v>
      </c>
      <c r="B30" s="40" t="s">
        <v>334</v>
      </c>
      <c r="C30" s="40" t="s">
        <v>335</v>
      </c>
      <c r="D30" s="80" t="s">
        <v>25</v>
      </c>
      <c r="E30" s="42"/>
      <c r="F30" s="42"/>
      <c r="G30" s="42"/>
      <c r="H30" s="42">
        <f>I30</f>
        <v>253.8</v>
      </c>
      <c r="I30" s="42">
        <f>93.8+160</f>
        <v>253.8</v>
      </c>
      <c r="J30" s="42"/>
      <c r="K30" s="42"/>
      <c r="L30" s="42"/>
      <c r="M30" s="42"/>
      <c r="N30" s="42"/>
      <c r="O30" s="42">
        <f t="shared" si="2"/>
        <v>253.8</v>
      </c>
    </row>
    <row r="31" spans="1:16" s="94" customFormat="1" ht="41.4">
      <c r="A31" s="29" t="s">
        <v>55</v>
      </c>
      <c r="B31" s="29"/>
      <c r="C31" s="29"/>
      <c r="D31" s="92" t="s">
        <v>36</v>
      </c>
      <c r="E31" s="50">
        <f>E32</f>
        <v>1605.5000000000002</v>
      </c>
      <c r="F31" s="50">
        <f t="shared" ref="F31:N31" si="3">F32</f>
        <v>903.5</v>
      </c>
      <c r="G31" s="50">
        <f t="shared" si="3"/>
        <v>74.8</v>
      </c>
      <c r="H31" s="50">
        <f t="shared" si="3"/>
        <v>337.5</v>
      </c>
      <c r="I31" s="50">
        <f t="shared" si="3"/>
        <v>12</v>
      </c>
      <c r="J31" s="50"/>
      <c r="K31" s="50"/>
      <c r="L31" s="50">
        <f t="shared" si="3"/>
        <v>325.5</v>
      </c>
      <c r="M31" s="50">
        <f t="shared" si="3"/>
        <v>325.5</v>
      </c>
      <c r="N31" s="50">
        <f t="shared" si="3"/>
        <v>325.5</v>
      </c>
      <c r="O31" s="50">
        <f t="shared" si="2"/>
        <v>1943.0000000000002</v>
      </c>
    </row>
    <row r="32" spans="1:16" ht="41.4">
      <c r="A32" s="29" t="s">
        <v>56</v>
      </c>
      <c r="B32" s="40"/>
      <c r="C32" s="40"/>
      <c r="D32" s="92" t="s">
        <v>36</v>
      </c>
      <c r="E32" s="50">
        <f>E33+E34</f>
        <v>1605.5000000000002</v>
      </c>
      <c r="F32" s="50">
        <f>F33+F34</f>
        <v>903.5</v>
      </c>
      <c r="G32" s="50">
        <f>G33+G34</f>
        <v>74.8</v>
      </c>
      <c r="H32" s="50">
        <f>I32+L32</f>
        <v>337.5</v>
      </c>
      <c r="I32" s="50">
        <f>I33+I34</f>
        <v>12</v>
      </c>
      <c r="J32" s="50"/>
      <c r="K32" s="50"/>
      <c r="L32" s="50">
        <f>L33+L34</f>
        <v>325.5</v>
      </c>
      <c r="M32" s="50">
        <f>M33+M34</f>
        <v>325.5</v>
      </c>
      <c r="N32" s="50">
        <f>N33+N34</f>
        <v>325.5</v>
      </c>
      <c r="O32" s="50">
        <f t="shared" si="2"/>
        <v>1943.0000000000002</v>
      </c>
    </row>
    <row r="33" spans="1:18" ht="69">
      <c r="A33" s="40" t="s">
        <v>57</v>
      </c>
      <c r="B33" s="40" t="s">
        <v>58</v>
      </c>
      <c r="C33" s="40" t="s">
        <v>59</v>
      </c>
      <c r="D33" s="80" t="s">
        <v>60</v>
      </c>
      <c r="E33" s="42">
        <f>909.7+25.2+16.2+229.9</f>
        <v>1181.0000000000002</v>
      </c>
      <c r="F33" s="42">
        <f>791.8+25.2+86.5</f>
        <v>903.5</v>
      </c>
      <c r="G33" s="42">
        <v>74.8</v>
      </c>
      <c r="H33" s="42">
        <f>I33+L33</f>
        <v>12</v>
      </c>
      <c r="I33" s="42">
        <v>12</v>
      </c>
      <c r="J33" s="42"/>
      <c r="K33" s="42"/>
      <c r="L33" s="42"/>
      <c r="M33" s="42"/>
      <c r="N33" s="42"/>
      <c r="O33" s="42">
        <f t="shared" si="2"/>
        <v>1193.0000000000002</v>
      </c>
    </row>
    <row r="34" spans="1:18">
      <c r="A34" s="40" t="s">
        <v>89</v>
      </c>
      <c r="B34" s="40" t="s">
        <v>87</v>
      </c>
      <c r="C34" s="40" t="s">
        <v>88</v>
      </c>
      <c r="D34" s="80" t="s">
        <v>13</v>
      </c>
      <c r="E34" s="42">
        <f>750-325.5</f>
        <v>424.5</v>
      </c>
      <c r="F34" s="42"/>
      <c r="G34" s="42"/>
      <c r="H34" s="42">
        <f>I34+L34</f>
        <v>325.5</v>
      </c>
      <c r="I34" s="42"/>
      <c r="J34" s="42"/>
      <c r="K34" s="42"/>
      <c r="L34" s="42">
        <f>325.5</f>
        <v>325.5</v>
      </c>
      <c r="M34" s="42">
        <f>325.5</f>
        <v>325.5</v>
      </c>
      <c r="N34" s="42">
        <f>325.5</f>
        <v>325.5</v>
      </c>
      <c r="O34" s="42">
        <f t="shared" si="2"/>
        <v>750</v>
      </c>
    </row>
    <row r="35" spans="1:18" s="94" customFormat="1" ht="27.6">
      <c r="A35" s="29" t="s">
        <v>55</v>
      </c>
      <c r="B35" s="29"/>
      <c r="C35" s="29"/>
      <c r="D35" s="92" t="s">
        <v>34</v>
      </c>
      <c r="E35" s="50">
        <f>E36</f>
        <v>1135.0999999999999</v>
      </c>
      <c r="F35" s="50">
        <f>F36</f>
        <v>779.30000000000007</v>
      </c>
      <c r="G35" s="50">
        <f>G36</f>
        <v>25.9</v>
      </c>
      <c r="H35" s="50">
        <f t="shared" ref="H35:N35" si="4">H36</f>
        <v>0</v>
      </c>
      <c r="I35" s="50">
        <f t="shared" si="4"/>
        <v>0</v>
      </c>
      <c r="J35" s="50">
        <f t="shared" si="4"/>
        <v>0</v>
      </c>
      <c r="K35" s="50">
        <f t="shared" si="4"/>
        <v>0</v>
      </c>
      <c r="L35" s="50">
        <f t="shared" si="4"/>
        <v>0</v>
      </c>
      <c r="M35" s="50">
        <f t="shared" si="4"/>
        <v>0</v>
      </c>
      <c r="N35" s="50">
        <f t="shared" si="4"/>
        <v>0</v>
      </c>
      <c r="O35" s="50">
        <f t="shared" si="2"/>
        <v>1135.0999999999999</v>
      </c>
    </row>
    <row r="36" spans="1:18" s="94" customFormat="1" ht="27.6">
      <c r="A36" s="29" t="s">
        <v>56</v>
      </c>
      <c r="B36" s="29"/>
      <c r="C36" s="29"/>
      <c r="D36" s="92" t="s">
        <v>34</v>
      </c>
      <c r="E36" s="50">
        <f>E37+E38</f>
        <v>1135.0999999999999</v>
      </c>
      <c r="F36" s="50">
        <f>F37+F38</f>
        <v>779.30000000000007</v>
      </c>
      <c r="G36" s="50">
        <f>G37+G38</f>
        <v>25.9</v>
      </c>
      <c r="H36" s="50">
        <f t="shared" ref="H36:N36" si="5">H37+H38</f>
        <v>0</v>
      </c>
      <c r="I36" s="50">
        <f t="shared" si="5"/>
        <v>0</v>
      </c>
      <c r="J36" s="50">
        <f t="shared" si="5"/>
        <v>0</v>
      </c>
      <c r="K36" s="50">
        <f t="shared" si="5"/>
        <v>0</v>
      </c>
      <c r="L36" s="50">
        <f t="shared" si="5"/>
        <v>0</v>
      </c>
      <c r="M36" s="50">
        <f t="shared" si="5"/>
        <v>0</v>
      </c>
      <c r="N36" s="50">
        <f t="shared" si="5"/>
        <v>0</v>
      </c>
      <c r="O36" s="50">
        <f t="shared" si="2"/>
        <v>1135.0999999999999</v>
      </c>
    </row>
    <row r="37" spans="1:18" ht="69">
      <c r="A37" s="40" t="s">
        <v>57</v>
      </c>
      <c r="B37" s="40" t="s">
        <v>58</v>
      </c>
      <c r="C37" s="40" t="s">
        <v>59</v>
      </c>
      <c r="D37" s="80" t="s">
        <v>60</v>
      </c>
      <c r="E37" s="42">
        <f>704+31.6+16.2+136.2</f>
        <v>888</v>
      </c>
      <c r="F37" s="42">
        <f>633.6+31.6+114.1</f>
        <v>779.30000000000007</v>
      </c>
      <c r="G37" s="42">
        <v>25.9</v>
      </c>
      <c r="H37" s="42"/>
      <c r="I37" s="42"/>
      <c r="J37" s="42"/>
      <c r="K37" s="42"/>
      <c r="L37" s="42"/>
      <c r="M37" s="42"/>
      <c r="N37" s="42"/>
      <c r="O37" s="42">
        <f t="shared" si="2"/>
        <v>888</v>
      </c>
    </row>
    <row r="38" spans="1:18">
      <c r="A38" s="40" t="s">
        <v>89</v>
      </c>
      <c r="B38" s="40" t="s">
        <v>87</v>
      </c>
      <c r="C38" s="40" t="s">
        <v>88</v>
      </c>
      <c r="D38" s="80" t="s">
        <v>13</v>
      </c>
      <c r="E38" s="42">
        <f>247.1</f>
        <v>247.1</v>
      </c>
      <c r="F38" s="42"/>
      <c r="G38" s="42"/>
      <c r="H38" s="42"/>
      <c r="I38" s="42"/>
      <c r="J38" s="42"/>
      <c r="K38" s="42"/>
      <c r="L38" s="42"/>
      <c r="M38" s="42"/>
      <c r="N38" s="42"/>
      <c r="O38" s="42">
        <f t="shared" si="2"/>
        <v>247.1</v>
      </c>
    </row>
    <row r="39" spans="1:18" s="94" customFormat="1" ht="27.6">
      <c r="A39" s="29" t="s">
        <v>55</v>
      </c>
      <c r="B39" s="29"/>
      <c r="C39" s="29"/>
      <c r="D39" s="92" t="s">
        <v>37</v>
      </c>
      <c r="E39" s="50">
        <f>E40</f>
        <v>1561.8</v>
      </c>
      <c r="F39" s="50">
        <f>F40</f>
        <v>802.99999999999989</v>
      </c>
      <c r="G39" s="50">
        <f>G40</f>
        <v>46</v>
      </c>
      <c r="H39" s="50">
        <f>H40</f>
        <v>3</v>
      </c>
      <c r="I39" s="50">
        <f>I40</f>
        <v>3</v>
      </c>
      <c r="J39" s="50"/>
      <c r="K39" s="50"/>
      <c r="L39" s="50"/>
      <c r="M39" s="50"/>
      <c r="N39" s="50"/>
      <c r="O39" s="50">
        <f t="shared" si="2"/>
        <v>1564.8</v>
      </c>
    </row>
    <row r="40" spans="1:18" s="94" customFormat="1" ht="27.6">
      <c r="A40" s="29" t="s">
        <v>56</v>
      </c>
      <c r="B40" s="29"/>
      <c r="C40" s="29"/>
      <c r="D40" s="92" t="s">
        <v>37</v>
      </c>
      <c r="E40" s="50">
        <f>E41+E42</f>
        <v>1561.8</v>
      </c>
      <c r="F40" s="50">
        <f>F41</f>
        <v>802.99999999999989</v>
      </c>
      <c r="G40" s="50">
        <f>G41</f>
        <v>46</v>
      </c>
      <c r="H40" s="50">
        <f>I40</f>
        <v>3</v>
      </c>
      <c r="I40" s="50">
        <f>I41</f>
        <v>3</v>
      </c>
      <c r="J40" s="50"/>
      <c r="K40" s="50"/>
      <c r="L40" s="50"/>
      <c r="M40" s="50"/>
      <c r="N40" s="50"/>
      <c r="O40" s="50">
        <f t="shared" si="2"/>
        <v>1564.8</v>
      </c>
    </row>
    <row r="41" spans="1:18" ht="69">
      <c r="A41" s="40" t="s">
        <v>57</v>
      </c>
      <c r="B41" s="40" t="s">
        <v>58</v>
      </c>
      <c r="C41" s="40" t="s">
        <v>59</v>
      </c>
      <c r="D41" s="80" t="s">
        <v>60</v>
      </c>
      <c r="E41" s="42">
        <f>988.1+26.4+117.3</f>
        <v>1131.8</v>
      </c>
      <c r="F41" s="42">
        <f>688.8+26.4+87.8</f>
        <v>802.99999999999989</v>
      </c>
      <c r="G41" s="42">
        <v>46</v>
      </c>
      <c r="H41" s="96">
        <f>I41</f>
        <v>3</v>
      </c>
      <c r="I41" s="96">
        <v>3</v>
      </c>
      <c r="J41" s="42"/>
      <c r="K41" s="42"/>
      <c r="L41" s="42"/>
      <c r="M41" s="42"/>
      <c r="N41" s="42"/>
      <c r="O41" s="42">
        <f t="shared" si="2"/>
        <v>1134.8</v>
      </c>
    </row>
    <row r="42" spans="1:18">
      <c r="A42" s="40" t="s">
        <v>89</v>
      </c>
      <c r="B42" s="40" t="s">
        <v>87</v>
      </c>
      <c r="C42" s="40" t="s">
        <v>88</v>
      </c>
      <c r="D42" s="80" t="s">
        <v>13</v>
      </c>
      <c r="E42" s="42">
        <f>430</f>
        <v>430</v>
      </c>
      <c r="F42" s="42"/>
      <c r="G42" s="42"/>
      <c r="H42" s="42"/>
      <c r="I42" s="42"/>
      <c r="J42" s="42"/>
      <c r="K42" s="42"/>
      <c r="L42" s="42"/>
      <c r="M42" s="42"/>
      <c r="N42" s="42"/>
      <c r="O42" s="42">
        <f t="shared" si="2"/>
        <v>430</v>
      </c>
    </row>
    <row r="43" spans="1:18" s="94" customFormat="1" ht="27.6">
      <c r="A43" s="29" t="s">
        <v>90</v>
      </c>
      <c r="B43" s="29"/>
      <c r="C43" s="29"/>
      <c r="D43" s="92" t="s">
        <v>30</v>
      </c>
      <c r="E43" s="50">
        <f>E44</f>
        <v>189456.05125000002</v>
      </c>
      <c r="F43" s="50">
        <f t="shared" ref="F43:N43" si="6">F44</f>
        <v>147681.59999999998</v>
      </c>
      <c r="G43" s="50">
        <f t="shared" si="6"/>
        <v>17333.300000000007</v>
      </c>
      <c r="H43" s="50">
        <f t="shared" si="6"/>
        <v>17338.240000000002</v>
      </c>
      <c r="I43" s="50">
        <f t="shared" si="6"/>
        <v>7934.2400000000007</v>
      </c>
      <c r="J43" s="50">
        <f t="shared" si="6"/>
        <v>89.12299999999999</v>
      </c>
      <c r="K43" s="50">
        <f t="shared" si="6"/>
        <v>0</v>
      </c>
      <c r="L43" s="50">
        <f t="shared" si="6"/>
        <v>9404</v>
      </c>
      <c r="M43" s="50">
        <f t="shared" si="6"/>
        <v>9364.5</v>
      </c>
      <c r="N43" s="50">
        <f t="shared" si="6"/>
        <v>8664.5</v>
      </c>
      <c r="O43" s="50">
        <f t="shared" si="2"/>
        <v>206794.29125000001</v>
      </c>
    </row>
    <row r="44" spans="1:18" ht="27.6">
      <c r="A44" s="29" t="s">
        <v>91</v>
      </c>
      <c r="B44" s="40"/>
      <c r="C44" s="40"/>
      <c r="D44" s="92" t="s">
        <v>30</v>
      </c>
      <c r="E44" s="50">
        <f>E45+E46+E47+E49+E51+E53+E54+E55+E56+E57+E58+E59+E60+E62+E63+E64</f>
        <v>189456.05125000002</v>
      </c>
      <c r="F44" s="50">
        <f t="shared" ref="F44:N44" si="7">F45+F46+F47+F49+F51+F53+F54+F55+F56+F57+F58+F59+F60+F62+F63+F64</f>
        <v>147681.59999999998</v>
      </c>
      <c r="G44" s="50">
        <f t="shared" si="7"/>
        <v>17333.300000000007</v>
      </c>
      <c r="H44" s="50">
        <f t="shared" si="7"/>
        <v>17338.240000000002</v>
      </c>
      <c r="I44" s="50">
        <f t="shared" si="7"/>
        <v>7934.2400000000007</v>
      </c>
      <c r="J44" s="50">
        <f t="shared" si="7"/>
        <v>89.12299999999999</v>
      </c>
      <c r="K44" s="50">
        <f t="shared" si="7"/>
        <v>0</v>
      </c>
      <c r="L44" s="50">
        <f t="shared" si="7"/>
        <v>9404</v>
      </c>
      <c r="M44" s="50">
        <f t="shared" si="7"/>
        <v>9364.5</v>
      </c>
      <c r="N44" s="50">
        <f t="shared" si="7"/>
        <v>8664.5</v>
      </c>
      <c r="O44" s="50">
        <f t="shared" si="2"/>
        <v>206794.29125000001</v>
      </c>
    </row>
    <row r="45" spans="1:18" ht="41.4">
      <c r="A45" s="40" t="s">
        <v>93</v>
      </c>
      <c r="B45" s="40" t="s">
        <v>92</v>
      </c>
      <c r="C45" s="40" t="s">
        <v>59</v>
      </c>
      <c r="D45" s="49" t="s">
        <v>94</v>
      </c>
      <c r="E45" s="42">
        <f>869+116</f>
        <v>985</v>
      </c>
      <c r="F45" s="42">
        <f>833.4+116</f>
        <v>949.4</v>
      </c>
      <c r="G45" s="42">
        <v>19.8</v>
      </c>
      <c r="H45" s="42"/>
      <c r="I45" s="42"/>
      <c r="J45" s="42"/>
      <c r="K45" s="42"/>
      <c r="L45" s="42"/>
      <c r="M45" s="42"/>
      <c r="N45" s="42"/>
      <c r="O45" s="50">
        <f t="shared" si="2"/>
        <v>985</v>
      </c>
    </row>
    <row r="46" spans="1:18">
      <c r="A46" s="40" t="s">
        <v>97</v>
      </c>
      <c r="B46" s="40" t="s">
        <v>95</v>
      </c>
      <c r="C46" s="40" t="s">
        <v>98</v>
      </c>
      <c r="D46" s="97" t="s">
        <v>96</v>
      </c>
      <c r="E46" s="98">
        <f>56627+300+3339.2</f>
        <v>60266.2</v>
      </c>
      <c r="F46" s="98">
        <f>37139.4+4437.4+3339.2</f>
        <v>44916</v>
      </c>
      <c r="G46" s="98">
        <v>7364.2</v>
      </c>
      <c r="H46" s="98">
        <f>I46+L46</f>
        <v>10679.1</v>
      </c>
      <c r="I46" s="98">
        <v>7379.1</v>
      </c>
      <c r="J46" s="98"/>
      <c r="K46" s="98"/>
      <c r="L46" s="98">
        <f>1000+2300</f>
        <v>3300</v>
      </c>
      <c r="M46" s="98">
        <f>1000+2300</f>
        <v>3300</v>
      </c>
      <c r="N46" s="98">
        <f>1000+2300</f>
        <v>3300</v>
      </c>
      <c r="O46" s="50">
        <f t="shared" si="2"/>
        <v>70945.3</v>
      </c>
    </row>
    <row r="47" spans="1:18" ht="69">
      <c r="A47" s="40" t="s">
        <v>100</v>
      </c>
      <c r="B47" s="40" t="s">
        <v>99</v>
      </c>
      <c r="C47" s="40" t="s">
        <v>101</v>
      </c>
      <c r="D47" s="49" t="s">
        <v>102</v>
      </c>
      <c r="E47" s="98">
        <f>73180.3+11325.7+1309.25125+5685.1</f>
        <v>91500.351250000007</v>
      </c>
      <c r="F47" s="98">
        <f>61913+11325.7+4.2+5685.1</f>
        <v>78928</v>
      </c>
      <c r="G47" s="98">
        <v>8687.5</v>
      </c>
      <c r="H47" s="98">
        <f>I47+L47</f>
        <v>4470.1400000000003</v>
      </c>
      <c r="I47" s="98">
        <f>383.2+86.94</f>
        <v>470.14</v>
      </c>
      <c r="J47" s="98">
        <f>22.3+66.823</f>
        <v>89.12299999999999</v>
      </c>
      <c r="K47" s="98"/>
      <c r="L47" s="98">
        <f>1500+2500</f>
        <v>4000</v>
      </c>
      <c r="M47" s="98">
        <f>1500+2500</f>
        <v>4000</v>
      </c>
      <c r="N47" s="98">
        <f>1500+2500</f>
        <v>4000</v>
      </c>
      <c r="O47" s="50">
        <f t="shared" si="2"/>
        <v>95970.491250000006</v>
      </c>
      <c r="Q47" s="81"/>
    </row>
    <row r="48" spans="1:18" s="95" customFormat="1" ht="41.4">
      <c r="A48" s="46"/>
      <c r="B48" s="46"/>
      <c r="C48" s="46"/>
      <c r="D48" s="99" t="s">
        <v>45</v>
      </c>
      <c r="E48" s="48">
        <f>56107+11325.7+4.2</f>
        <v>67436.899999999994</v>
      </c>
      <c r="F48" s="48">
        <f>56107+11325.7+4.2</f>
        <v>67436.899999999994</v>
      </c>
      <c r="G48" s="48"/>
      <c r="H48" s="48"/>
      <c r="I48" s="48"/>
      <c r="J48" s="48"/>
      <c r="K48" s="48"/>
      <c r="L48" s="48"/>
      <c r="M48" s="48"/>
      <c r="N48" s="48"/>
      <c r="O48" s="50">
        <f t="shared" si="2"/>
        <v>67436.899999999994</v>
      </c>
      <c r="R48" s="100"/>
    </row>
    <row r="49" spans="1:18" ht="27.6">
      <c r="A49" s="40" t="s">
        <v>104</v>
      </c>
      <c r="B49" s="40" t="s">
        <v>103</v>
      </c>
      <c r="C49" s="40" t="s">
        <v>101</v>
      </c>
      <c r="D49" s="49" t="s">
        <v>105</v>
      </c>
      <c r="E49" s="98">
        <f>444.7+71.4</f>
        <v>516.1</v>
      </c>
      <c r="F49" s="98">
        <f>390.3+71.4</f>
        <v>461.70000000000005</v>
      </c>
      <c r="G49" s="98">
        <v>50.1</v>
      </c>
      <c r="H49" s="98"/>
      <c r="I49" s="98"/>
      <c r="J49" s="98"/>
      <c r="K49" s="98"/>
      <c r="L49" s="98"/>
      <c r="M49" s="98"/>
      <c r="N49" s="98"/>
      <c r="O49" s="50">
        <f t="shared" si="2"/>
        <v>516.1</v>
      </c>
      <c r="R49" s="101"/>
    </row>
    <row r="50" spans="1:18" ht="41.4">
      <c r="A50" s="40"/>
      <c r="B50" s="40"/>
      <c r="C50" s="40"/>
      <c r="D50" s="99" t="s">
        <v>45</v>
      </c>
      <c r="E50" s="98">
        <f>352.5+71.4</f>
        <v>423.9</v>
      </c>
      <c r="F50" s="98">
        <f>352.5+71.4</f>
        <v>423.9</v>
      </c>
      <c r="G50" s="98"/>
      <c r="H50" s="98"/>
      <c r="I50" s="98"/>
      <c r="J50" s="98"/>
      <c r="K50" s="98"/>
      <c r="L50" s="98"/>
      <c r="M50" s="98"/>
      <c r="N50" s="98"/>
      <c r="O50" s="50">
        <f t="shared" si="2"/>
        <v>423.9</v>
      </c>
      <c r="R50" s="101"/>
    </row>
    <row r="51" spans="1:18" ht="69">
      <c r="A51" s="40" t="s">
        <v>391</v>
      </c>
      <c r="B51" s="40" t="s">
        <v>187</v>
      </c>
      <c r="C51" s="40" t="s">
        <v>106</v>
      </c>
      <c r="D51" s="49" t="s">
        <v>392</v>
      </c>
      <c r="E51" s="98">
        <f>6483.6+989.8+80+356.9</f>
        <v>7910.3</v>
      </c>
      <c r="F51" s="98">
        <f>5438.2+989.8+356.9</f>
        <v>6784.9</v>
      </c>
      <c r="G51" s="98">
        <v>439.6</v>
      </c>
      <c r="H51" s="98">
        <f>I51+L51</f>
        <v>0</v>
      </c>
      <c r="I51" s="98"/>
      <c r="J51" s="98"/>
      <c r="K51" s="98"/>
      <c r="L51" s="98"/>
      <c r="M51" s="98"/>
      <c r="N51" s="98"/>
      <c r="O51" s="50">
        <f t="shared" si="2"/>
        <v>7910.3</v>
      </c>
    </row>
    <row r="52" spans="1:18" ht="41.4">
      <c r="A52" s="40"/>
      <c r="B52" s="40"/>
      <c r="C52" s="40"/>
      <c r="D52" s="99" t="s">
        <v>45</v>
      </c>
      <c r="E52" s="48">
        <v>5612.8</v>
      </c>
      <c r="F52" s="48">
        <v>5612.8</v>
      </c>
      <c r="G52" s="98"/>
      <c r="H52" s="98"/>
      <c r="I52" s="98"/>
      <c r="J52" s="98"/>
      <c r="K52" s="98"/>
      <c r="L52" s="98"/>
      <c r="M52" s="98"/>
      <c r="N52" s="98"/>
      <c r="O52" s="50">
        <f t="shared" si="2"/>
        <v>5612.8</v>
      </c>
    </row>
    <row r="53" spans="1:18" ht="41.4">
      <c r="A53" s="40" t="s">
        <v>107</v>
      </c>
      <c r="B53" s="40" t="s">
        <v>63</v>
      </c>
      <c r="C53" s="40" t="s">
        <v>108</v>
      </c>
      <c r="D53" s="49" t="s">
        <v>109</v>
      </c>
      <c r="E53" s="98">
        <f>8081.8+1392.2+98</f>
        <v>9572</v>
      </c>
      <c r="F53" s="98">
        <f>6961+1392.2</f>
        <v>8353.2000000000007</v>
      </c>
      <c r="G53" s="98">
        <v>281.89999999999998</v>
      </c>
      <c r="H53" s="98">
        <f>I53+L53</f>
        <v>889</v>
      </c>
      <c r="I53" s="98">
        <v>85</v>
      </c>
      <c r="J53" s="98"/>
      <c r="K53" s="98"/>
      <c r="L53" s="98">
        <f>39.5+764.5</f>
        <v>804</v>
      </c>
      <c r="M53" s="98">
        <f>764.5</f>
        <v>764.5</v>
      </c>
      <c r="N53" s="98">
        <f>764.5</f>
        <v>764.5</v>
      </c>
      <c r="O53" s="50">
        <f t="shared" si="2"/>
        <v>10461</v>
      </c>
    </row>
    <row r="54" spans="1:18" ht="27.6">
      <c r="A54" s="40" t="s">
        <v>111</v>
      </c>
      <c r="B54" s="40" t="s">
        <v>110</v>
      </c>
      <c r="C54" s="40" t="s">
        <v>112</v>
      </c>
      <c r="D54" s="97" t="s">
        <v>113</v>
      </c>
      <c r="E54" s="98">
        <v>95.5</v>
      </c>
      <c r="F54" s="98"/>
      <c r="G54" s="98"/>
      <c r="H54" s="98"/>
      <c r="I54" s="98"/>
      <c r="J54" s="98"/>
      <c r="K54" s="98"/>
      <c r="L54" s="98"/>
      <c r="M54" s="98"/>
      <c r="N54" s="98"/>
      <c r="O54" s="50">
        <f t="shared" si="2"/>
        <v>95.5</v>
      </c>
    </row>
    <row r="55" spans="1:18" ht="27.6">
      <c r="A55" s="40" t="s">
        <v>115</v>
      </c>
      <c r="B55" s="40" t="s">
        <v>114</v>
      </c>
      <c r="C55" s="40" t="s">
        <v>116</v>
      </c>
      <c r="D55" s="49" t="s">
        <v>117</v>
      </c>
      <c r="E55" s="98">
        <f>1693.9+307.1+14</f>
        <v>2015</v>
      </c>
      <c r="F55" s="98">
        <f>1535.3+307.1</f>
        <v>1842.4</v>
      </c>
      <c r="G55" s="98">
        <v>17.399999999999999</v>
      </c>
      <c r="H55" s="98">
        <f t="shared" ref="H55" si="8">I55+L55</f>
        <v>80</v>
      </c>
      <c r="I55" s="98"/>
      <c r="J55" s="98"/>
      <c r="K55" s="98"/>
      <c r="L55" s="98">
        <f>80</f>
        <v>80</v>
      </c>
      <c r="M55" s="98">
        <f>80</f>
        <v>80</v>
      </c>
      <c r="N55" s="98">
        <f>80</f>
        <v>80</v>
      </c>
      <c r="O55" s="50">
        <f t="shared" si="2"/>
        <v>2095</v>
      </c>
    </row>
    <row r="56" spans="1:18">
      <c r="A56" s="40" t="s">
        <v>119</v>
      </c>
      <c r="B56" s="40" t="s">
        <v>118</v>
      </c>
      <c r="C56" s="40" t="s">
        <v>116</v>
      </c>
      <c r="D56" s="49" t="s">
        <v>120</v>
      </c>
      <c r="E56" s="98">
        <f>1596.1+294.4</f>
        <v>1890.5</v>
      </c>
      <c r="F56" s="98">
        <f>1472+294.4</f>
        <v>1766.4</v>
      </c>
      <c r="G56" s="98">
        <v>39.200000000000003</v>
      </c>
      <c r="H56" s="98"/>
      <c r="I56" s="98"/>
      <c r="J56" s="98"/>
      <c r="K56" s="98"/>
      <c r="L56" s="98"/>
      <c r="M56" s="98"/>
      <c r="N56" s="98"/>
      <c r="O56" s="50">
        <f t="shared" si="2"/>
        <v>1890.5</v>
      </c>
    </row>
    <row r="57" spans="1:18" ht="27.6">
      <c r="A57" s="40" t="s">
        <v>122</v>
      </c>
      <c r="B57" s="40" t="s">
        <v>121</v>
      </c>
      <c r="C57" s="40" t="s">
        <v>116</v>
      </c>
      <c r="D57" s="49" t="s">
        <v>123</v>
      </c>
      <c r="E57" s="98">
        <f>1180.9+118.6</f>
        <v>1299.5</v>
      </c>
      <c r="F57" s="98">
        <f>593.2+118.6</f>
        <v>711.80000000000007</v>
      </c>
      <c r="G57" s="98">
        <v>252.7</v>
      </c>
      <c r="H57" s="98">
        <f>I57+L57</f>
        <v>150</v>
      </c>
      <c r="I57" s="98"/>
      <c r="J57" s="98"/>
      <c r="K57" s="98"/>
      <c r="L57" s="98">
        <f>150</f>
        <v>150</v>
      </c>
      <c r="M57" s="98">
        <f>150</f>
        <v>150</v>
      </c>
      <c r="N57" s="98">
        <f>150</f>
        <v>150</v>
      </c>
      <c r="O57" s="50">
        <f t="shared" si="2"/>
        <v>1449.5</v>
      </c>
    </row>
    <row r="58" spans="1:18" ht="41.4">
      <c r="A58" s="40" t="s">
        <v>125</v>
      </c>
      <c r="B58" s="40" t="s">
        <v>124</v>
      </c>
      <c r="C58" s="40" t="s">
        <v>116</v>
      </c>
      <c r="D58" s="49" t="s">
        <v>126</v>
      </c>
      <c r="E58" s="98">
        <v>27.6</v>
      </c>
      <c r="F58" s="98"/>
      <c r="G58" s="98"/>
      <c r="H58" s="98"/>
      <c r="I58" s="98"/>
      <c r="J58" s="98"/>
      <c r="K58" s="98"/>
      <c r="L58" s="98"/>
      <c r="M58" s="98"/>
      <c r="N58" s="98"/>
      <c r="O58" s="50">
        <f t="shared" si="2"/>
        <v>27.6</v>
      </c>
    </row>
    <row r="59" spans="1:18" ht="78">
      <c r="A59" s="40" t="s">
        <v>130</v>
      </c>
      <c r="B59" s="40" t="s">
        <v>129</v>
      </c>
      <c r="C59" s="40" t="s">
        <v>131</v>
      </c>
      <c r="D59" s="82" t="s">
        <v>132</v>
      </c>
      <c r="E59" s="42">
        <f>803.4+156</f>
        <v>959.4</v>
      </c>
      <c r="F59" s="42"/>
      <c r="G59" s="42"/>
      <c r="H59" s="42"/>
      <c r="I59" s="42"/>
      <c r="J59" s="42"/>
      <c r="K59" s="42"/>
      <c r="L59" s="42"/>
      <c r="M59" s="42"/>
      <c r="N59" s="42"/>
      <c r="O59" s="50">
        <f t="shared" si="2"/>
        <v>959.4</v>
      </c>
    </row>
    <row r="60" spans="1:18">
      <c r="A60" s="40" t="s">
        <v>127</v>
      </c>
      <c r="B60" s="40" t="s">
        <v>61</v>
      </c>
      <c r="C60" s="40" t="s">
        <v>63</v>
      </c>
      <c r="D60" s="49" t="s">
        <v>128</v>
      </c>
      <c r="E60" s="42">
        <v>8380.4</v>
      </c>
      <c r="F60" s="42"/>
      <c r="G60" s="42"/>
      <c r="H60" s="42"/>
      <c r="I60" s="42"/>
      <c r="J60" s="42"/>
      <c r="K60" s="42"/>
      <c r="L60" s="42"/>
      <c r="M60" s="42"/>
      <c r="N60" s="42"/>
      <c r="O60" s="50">
        <f t="shared" si="2"/>
        <v>8380.4</v>
      </c>
    </row>
    <row r="61" spans="1:18" ht="31.2">
      <c r="A61" s="40" t="s">
        <v>411</v>
      </c>
      <c r="B61" s="40" t="s">
        <v>412</v>
      </c>
      <c r="C61" s="40"/>
      <c r="D61" s="45" t="s">
        <v>410</v>
      </c>
      <c r="E61" s="42">
        <f>E62</f>
        <v>3838.2</v>
      </c>
      <c r="F61" s="42">
        <f>F62</f>
        <v>2967.7999999999997</v>
      </c>
      <c r="G61" s="42">
        <f>G62</f>
        <v>180.9</v>
      </c>
      <c r="H61" s="42">
        <f>H62</f>
        <v>370</v>
      </c>
      <c r="I61" s="42"/>
      <c r="J61" s="42"/>
      <c r="K61" s="42"/>
      <c r="L61" s="42"/>
      <c r="M61" s="42"/>
      <c r="N61" s="42"/>
      <c r="O61" s="50">
        <f t="shared" si="2"/>
        <v>4208.2</v>
      </c>
    </row>
    <row r="62" spans="1:18" s="95" customFormat="1" ht="46.8">
      <c r="A62" s="46" t="s">
        <v>408</v>
      </c>
      <c r="B62" s="46" t="s">
        <v>409</v>
      </c>
      <c r="C62" s="46" t="s">
        <v>133</v>
      </c>
      <c r="D62" s="47" t="s">
        <v>135</v>
      </c>
      <c r="E62" s="48">
        <f>2943.6+494.6+400</f>
        <v>3838.2</v>
      </c>
      <c r="F62" s="48">
        <f>2473.2+494.6</f>
        <v>2967.7999999999997</v>
      </c>
      <c r="G62" s="48">
        <v>180.9</v>
      </c>
      <c r="H62" s="48">
        <f>I62+L62</f>
        <v>370</v>
      </c>
      <c r="I62" s="48"/>
      <c r="J62" s="48"/>
      <c r="K62" s="48"/>
      <c r="L62" s="48">
        <f>370</f>
        <v>370</v>
      </c>
      <c r="M62" s="48">
        <f>370</f>
        <v>370</v>
      </c>
      <c r="N62" s="48">
        <f>370</f>
        <v>370</v>
      </c>
      <c r="O62" s="50">
        <f t="shared" si="2"/>
        <v>4208.2</v>
      </c>
    </row>
    <row r="63" spans="1:18" ht="31.2">
      <c r="A63" s="40" t="s">
        <v>136</v>
      </c>
      <c r="B63" s="40" t="s">
        <v>134</v>
      </c>
      <c r="C63" s="40" t="s">
        <v>137</v>
      </c>
      <c r="D63" s="82" t="s">
        <v>138</v>
      </c>
      <c r="E63" s="98"/>
      <c r="F63" s="98"/>
      <c r="G63" s="98"/>
      <c r="H63" s="98">
        <f>I63+L63</f>
        <v>700</v>
      </c>
      <c r="I63" s="98"/>
      <c r="J63" s="98"/>
      <c r="K63" s="98"/>
      <c r="L63" s="98">
        <f>700</f>
        <v>700</v>
      </c>
      <c r="M63" s="98">
        <f>700</f>
        <v>700</v>
      </c>
      <c r="N63" s="98"/>
      <c r="O63" s="50">
        <f t="shared" si="2"/>
        <v>700</v>
      </c>
    </row>
    <row r="64" spans="1:18" ht="15.6">
      <c r="A64" s="40" t="s">
        <v>436</v>
      </c>
      <c r="B64" s="40" t="s">
        <v>80</v>
      </c>
      <c r="C64" s="40" t="s">
        <v>81</v>
      </c>
      <c r="D64" s="45" t="s">
        <v>33</v>
      </c>
      <c r="E64" s="98">
        <f>200</f>
        <v>200</v>
      </c>
      <c r="F64" s="98"/>
      <c r="G64" s="98"/>
      <c r="H64" s="98">
        <f>I64+L64</f>
        <v>0</v>
      </c>
      <c r="I64" s="98"/>
      <c r="J64" s="98"/>
      <c r="K64" s="98"/>
      <c r="L64" s="98"/>
      <c r="M64" s="98"/>
      <c r="N64" s="98"/>
      <c r="O64" s="50">
        <f t="shared" si="2"/>
        <v>200</v>
      </c>
    </row>
    <row r="65" spans="1:15" s="94" customFormat="1" ht="27.6">
      <c r="A65" s="29" t="s">
        <v>139</v>
      </c>
      <c r="B65" s="29"/>
      <c r="C65" s="29"/>
      <c r="D65" s="92" t="s">
        <v>35</v>
      </c>
      <c r="E65" s="102">
        <f>E66</f>
        <v>2373.1</v>
      </c>
      <c r="F65" s="102">
        <f t="shared" ref="F65:N65" si="9">F66</f>
        <v>586.1</v>
      </c>
      <c r="G65" s="102">
        <f t="shared" si="9"/>
        <v>0</v>
      </c>
      <c r="H65" s="102">
        <f t="shared" si="9"/>
        <v>10</v>
      </c>
      <c r="I65" s="102">
        <f t="shared" si="9"/>
        <v>0</v>
      </c>
      <c r="J65" s="102">
        <f t="shared" si="9"/>
        <v>0</v>
      </c>
      <c r="K65" s="102">
        <f t="shared" si="9"/>
        <v>0</v>
      </c>
      <c r="L65" s="102">
        <f t="shared" si="9"/>
        <v>10</v>
      </c>
      <c r="M65" s="102">
        <f t="shared" si="9"/>
        <v>10</v>
      </c>
      <c r="N65" s="102">
        <f t="shared" si="9"/>
        <v>10</v>
      </c>
      <c r="O65" s="50">
        <f t="shared" si="2"/>
        <v>2383.1</v>
      </c>
    </row>
    <row r="66" spans="1:15" s="94" customFormat="1" ht="27.6">
      <c r="A66" s="29" t="s">
        <v>140</v>
      </c>
      <c r="B66" s="29"/>
      <c r="C66" s="29"/>
      <c r="D66" s="92" t="s">
        <v>35</v>
      </c>
      <c r="E66" s="50">
        <f>E67+E69+E70+E72+E73+E77</f>
        <v>2373.1</v>
      </c>
      <c r="F66" s="50">
        <f t="shared" ref="F66:N66" si="10">F67+F69+F70+F72+F73+F77</f>
        <v>586.1</v>
      </c>
      <c r="G66" s="50">
        <f t="shared" si="10"/>
        <v>0</v>
      </c>
      <c r="H66" s="50">
        <f t="shared" si="10"/>
        <v>10</v>
      </c>
      <c r="I66" s="50">
        <f t="shared" si="10"/>
        <v>0</v>
      </c>
      <c r="J66" s="50">
        <f t="shared" si="10"/>
        <v>0</v>
      </c>
      <c r="K66" s="50">
        <f t="shared" si="10"/>
        <v>0</v>
      </c>
      <c r="L66" s="50">
        <f t="shared" si="10"/>
        <v>10</v>
      </c>
      <c r="M66" s="50">
        <f t="shared" si="10"/>
        <v>10</v>
      </c>
      <c r="N66" s="50">
        <f t="shared" si="10"/>
        <v>10</v>
      </c>
      <c r="O66" s="50">
        <f t="shared" si="2"/>
        <v>2383.1</v>
      </c>
    </row>
    <row r="67" spans="1:15" ht="41.4">
      <c r="A67" s="40" t="s">
        <v>141</v>
      </c>
      <c r="B67" s="40" t="s">
        <v>92</v>
      </c>
      <c r="C67" s="40" t="s">
        <v>59</v>
      </c>
      <c r="D67" s="49" t="s">
        <v>94</v>
      </c>
      <c r="E67" s="42">
        <f>527+90.3</f>
        <v>617.29999999999995</v>
      </c>
      <c r="F67" s="42">
        <f>495.8+90.3</f>
        <v>586.1</v>
      </c>
      <c r="G67" s="42"/>
      <c r="H67" s="103">
        <f>I67+L67</f>
        <v>10</v>
      </c>
      <c r="I67" s="50"/>
      <c r="J67" s="50"/>
      <c r="K67" s="50"/>
      <c r="L67" s="42">
        <f>6-6+10</f>
        <v>10</v>
      </c>
      <c r="M67" s="42">
        <f>6-6+10</f>
        <v>10</v>
      </c>
      <c r="N67" s="42">
        <f>6-6+10</f>
        <v>10</v>
      </c>
      <c r="O67" s="50">
        <f t="shared" si="2"/>
        <v>627.29999999999995</v>
      </c>
    </row>
    <row r="68" spans="1:15">
      <c r="A68" s="40" t="s">
        <v>143</v>
      </c>
      <c r="B68" s="40" t="s">
        <v>142</v>
      </c>
      <c r="C68" s="40"/>
      <c r="D68" s="49" t="s">
        <v>417</v>
      </c>
      <c r="E68" s="42">
        <f>E69</f>
        <v>477.1</v>
      </c>
      <c r="F68" s="42"/>
      <c r="G68" s="42"/>
      <c r="H68" s="42"/>
      <c r="I68" s="50"/>
      <c r="J68" s="50"/>
      <c r="K68" s="50"/>
      <c r="L68" s="42"/>
      <c r="M68" s="42"/>
      <c r="N68" s="42"/>
      <c r="O68" s="50">
        <f t="shared" si="2"/>
        <v>477.1</v>
      </c>
    </row>
    <row r="69" spans="1:15" s="105" customFormat="1" ht="32.25" customHeight="1">
      <c r="A69" s="46" t="s">
        <v>414</v>
      </c>
      <c r="B69" s="46" t="s">
        <v>415</v>
      </c>
      <c r="C69" s="46" t="s">
        <v>131</v>
      </c>
      <c r="D69" s="47" t="s">
        <v>416</v>
      </c>
      <c r="E69" s="51">
        <v>477.1</v>
      </c>
      <c r="F69" s="51"/>
      <c r="G69" s="51"/>
      <c r="H69" s="51"/>
      <c r="I69" s="51"/>
      <c r="J69" s="51"/>
      <c r="K69" s="51"/>
      <c r="L69" s="51"/>
      <c r="M69" s="51"/>
      <c r="N69" s="51"/>
      <c r="O69" s="104">
        <f t="shared" si="2"/>
        <v>477.1</v>
      </c>
    </row>
    <row r="70" spans="1:15" ht="31.2">
      <c r="A70" s="40" t="s">
        <v>146</v>
      </c>
      <c r="B70" s="40" t="s">
        <v>145</v>
      </c>
      <c r="C70" s="40"/>
      <c r="D70" s="45" t="s">
        <v>147</v>
      </c>
      <c r="E70" s="42">
        <f>E71</f>
        <v>238.5</v>
      </c>
      <c r="F70" s="42"/>
      <c r="G70" s="42"/>
      <c r="H70" s="42"/>
      <c r="I70" s="42"/>
      <c r="J70" s="42"/>
      <c r="K70" s="42"/>
      <c r="L70" s="42"/>
      <c r="M70" s="42"/>
      <c r="N70" s="42"/>
      <c r="O70" s="50">
        <f t="shared" si="2"/>
        <v>238.5</v>
      </c>
    </row>
    <row r="71" spans="1:15" s="95" customFormat="1" ht="15.6">
      <c r="A71" s="46" t="s">
        <v>148</v>
      </c>
      <c r="B71" s="46" t="s">
        <v>144</v>
      </c>
      <c r="C71" s="46" t="s">
        <v>131</v>
      </c>
      <c r="D71" s="47" t="s">
        <v>149</v>
      </c>
      <c r="E71" s="51">
        <v>238.5</v>
      </c>
      <c r="F71" s="51"/>
      <c r="G71" s="51"/>
      <c r="H71" s="51"/>
      <c r="I71" s="51"/>
      <c r="J71" s="51"/>
      <c r="K71" s="51"/>
      <c r="L71" s="51"/>
      <c r="M71" s="51"/>
      <c r="N71" s="51"/>
      <c r="O71" s="50">
        <f t="shared" si="2"/>
        <v>238.5</v>
      </c>
    </row>
    <row r="72" spans="1:15" ht="78">
      <c r="A72" s="40" t="s">
        <v>150</v>
      </c>
      <c r="B72" s="40" t="s">
        <v>129</v>
      </c>
      <c r="C72" s="40" t="s">
        <v>131</v>
      </c>
      <c r="D72" s="45" t="s">
        <v>132</v>
      </c>
      <c r="E72" s="42">
        <v>159</v>
      </c>
      <c r="F72" s="42"/>
      <c r="G72" s="42"/>
      <c r="H72" s="42"/>
      <c r="I72" s="42"/>
      <c r="J72" s="42"/>
      <c r="K72" s="42"/>
      <c r="L72" s="42"/>
      <c r="M72" s="42"/>
      <c r="N72" s="42"/>
      <c r="O72" s="50">
        <f t="shared" si="2"/>
        <v>159</v>
      </c>
    </row>
    <row r="73" spans="1:15" ht="15.6">
      <c r="A73" s="40" t="s">
        <v>152</v>
      </c>
      <c r="B73" s="40" t="s">
        <v>151</v>
      </c>
      <c r="C73" s="40"/>
      <c r="D73" s="106" t="s">
        <v>153</v>
      </c>
      <c r="E73" s="42">
        <f>E74+E75</f>
        <v>390</v>
      </c>
      <c r="F73" s="42"/>
      <c r="G73" s="42"/>
      <c r="H73" s="42"/>
      <c r="I73" s="42"/>
      <c r="J73" s="42"/>
      <c r="K73" s="42"/>
      <c r="L73" s="42"/>
      <c r="M73" s="42"/>
      <c r="N73" s="42"/>
      <c r="O73" s="50">
        <f t="shared" si="2"/>
        <v>390</v>
      </c>
    </row>
    <row r="74" spans="1:15" s="95" customFormat="1" ht="31.2">
      <c r="A74" s="46" t="s">
        <v>155</v>
      </c>
      <c r="B74" s="46" t="s">
        <v>154</v>
      </c>
      <c r="C74" s="46" t="s">
        <v>133</v>
      </c>
      <c r="D74" s="47" t="s">
        <v>383</v>
      </c>
      <c r="E74" s="51">
        <v>225</v>
      </c>
      <c r="F74" s="51"/>
      <c r="G74" s="51"/>
      <c r="H74" s="51"/>
      <c r="I74" s="51"/>
      <c r="J74" s="51"/>
      <c r="K74" s="51"/>
      <c r="L74" s="51"/>
      <c r="M74" s="51"/>
      <c r="N74" s="51"/>
      <c r="O74" s="50">
        <f t="shared" si="2"/>
        <v>225</v>
      </c>
    </row>
    <row r="75" spans="1:15" s="95" customFormat="1" ht="31.2">
      <c r="A75" s="46" t="s">
        <v>387</v>
      </c>
      <c r="B75" s="46" t="s">
        <v>388</v>
      </c>
      <c r="C75" s="46" t="s">
        <v>133</v>
      </c>
      <c r="D75" s="47" t="s">
        <v>389</v>
      </c>
      <c r="E75" s="51">
        <v>165</v>
      </c>
      <c r="F75" s="51"/>
      <c r="G75" s="51"/>
      <c r="H75" s="51"/>
      <c r="I75" s="51"/>
      <c r="J75" s="51"/>
      <c r="K75" s="51"/>
      <c r="L75" s="51"/>
      <c r="M75" s="51"/>
      <c r="N75" s="51"/>
      <c r="O75" s="50">
        <f t="shared" si="2"/>
        <v>165</v>
      </c>
    </row>
    <row r="76" spans="1:15" s="95" customFormat="1" ht="31.2">
      <c r="A76" s="46" t="s">
        <v>421</v>
      </c>
      <c r="B76" s="46" t="s">
        <v>422</v>
      </c>
      <c r="C76" s="46"/>
      <c r="D76" s="45" t="s">
        <v>423</v>
      </c>
      <c r="E76" s="51">
        <f>E77</f>
        <v>491.2</v>
      </c>
      <c r="F76" s="51"/>
      <c r="G76" s="51"/>
      <c r="H76" s="51"/>
      <c r="I76" s="51"/>
      <c r="J76" s="51"/>
      <c r="K76" s="51"/>
      <c r="L76" s="51"/>
      <c r="M76" s="51"/>
      <c r="N76" s="51"/>
      <c r="O76" s="50">
        <f t="shared" si="2"/>
        <v>491.2</v>
      </c>
    </row>
    <row r="77" spans="1:15" s="105" customFormat="1" ht="55.2">
      <c r="A77" s="46" t="s">
        <v>418</v>
      </c>
      <c r="B77" s="46" t="s">
        <v>419</v>
      </c>
      <c r="C77" s="46" t="s">
        <v>133</v>
      </c>
      <c r="D77" s="52" t="s">
        <v>420</v>
      </c>
      <c r="E77" s="51">
        <f>381.2+110</f>
        <v>491.2</v>
      </c>
      <c r="F77" s="51"/>
      <c r="G77" s="51"/>
      <c r="H77" s="51"/>
      <c r="I77" s="51"/>
      <c r="J77" s="51"/>
      <c r="K77" s="51"/>
      <c r="L77" s="51"/>
      <c r="M77" s="51"/>
      <c r="N77" s="51"/>
      <c r="O77" s="104">
        <f t="shared" si="2"/>
        <v>491.2</v>
      </c>
    </row>
    <row r="78" spans="1:15" s="94" customFormat="1" ht="27.6">
      <c r="A78" s="29" t="s">
        <v>156</v>
      </c>
      <c r="B78" s="29"/>
      <c r="C78" s="29"/>
      <c r="D78" s="92" t="s">
        <v>38</v>
      </c>
      <c r="E78" s="50">
        <f>E79</f>
        <v>129454.14455</v>
      </c>
      <c r="F78" s="50">
        <f t="shared" ref="F78:N78" si="11">F79</f>
        <v>10706</v>
      </c>
      <c r="G78" s="50">
        <f t="shared" si="11"/>
        <v>260.7</v>
      </c>
      <c r="H78" s="50">
        <f t="shared" si="11"/>
        <v>79</v>
      </c>
      <c r="I78" s="50">
        <f t="shared" si="11"/>
        <v>12</v>
      </c>
      <c r="J78" s="50">
        <f t="shared" si="11"/>
        <v>0</v>
      </c>
      <c r="K78" s="50">
        <f t="shared" si="11"/>
        <v>0</v>
      </c>
      <c r="L78" s="50">
        <f t="shared" si="11"/>
        <v>67</v>
      </c>
      <c r="M78" s="50">
        <f t="shared" si="11"/>
        <v>67</v>
      </c>
      <c r="N78" s="50">
        <f t="shared" si="11"/>
        <v>67</v>
      </c>
      <c r="O78" s="50">
        <f t="shared" si="2"/>
        <v>129533.14455</v>
      </c>
    </row>
    <row r="79" spans="1:15" ht="27.6">
      <c r="A79" s="29" t="s">
        <v>157</v>
      </c>
      <c r="B79" s="40"/>
      <c r="C79" s="40"/>
      <c r="D79" s="92" t="s">
        <v>38</v>
      </c>
      <c r="E79" s="50">
        <f>E80+E81+E82+E90+E97+E102+E115+E118+E120+E121+E124+E113+E123+E112</f>
        <v>129454.14455</v>
      </c>
      <c r="F79" s="50">
        <f t="shared" ref="F79:N79" si="12">F80+F81+F82+F90+F97+F102+F115+F118+F120+F121+F124+F113+F123</f>
        <v>10706</v>
      </c>
      <c r="G79" s="50">
        <f t="shared" si="12"/>
        <v>260.7</v>
      </c>
      <c r="H79" s="50">
        <f t="shared" si="12"/>
        <v>79</v>
      </c>
      <c r="I79" s="50">
        <f t="shared" si="12"/>
        <v>12</v>
      </c>
      <c r="J79" s="50">
        <f t="shared" si="12"/>
        <v>0</v>
      </c>
      <c r="K79" s="50">
        <f t="shared" si="12"/>
        <v>0</v>
      </c>
      <c r="L79" s="50">
        <f t="shared" si="12"/>
        <v>67</v>
      </c>
      <c r="M79" s="50">
        <f t="shared" si="12"/>
        <v>67</v>
      </c>
      <c r="N79" s="50">
        <f t="shared" si="12"/>
        <v>67</v>
      </c>
      <c r="O79" s="50">
        <f>E79+H79</f>
        <v>129533.14455</v>
      </c>
    </row>
    <row r="80" spans="1:15" ht="46.8">
      <c r="A80" s="40" t="s">
        <v>158</v>
      </c>
      <c r="B80" s="40" t="s">
        <v>92</v>
      </c>
      <c r="C80" s="40" t="s">
        <v>59</v>
      </c>
      <c r="D80" s="107" t="str">
        <f>D67</f>
        <v>Керівництво і управління у відповідній сфері у містах республіканського Автономної Республіки Крим та обласного значення</v>
      </c>
      <c r="E80" s="42">
        <f>5061.5+2.7+388.4</f>
        <v>5452.5999999999995</v>
      </c>
      <c r="F80" s="42">
        <f>4625+388.4</f>
        <v>5013.3999999999996</v>
      </c>
      <c r="G80" s="42">
        <v>139.4</v>
      </c>
      <c r="H80" s="42">
        <f>I80+L80</f>
        <v>53</v>
      </c>
      <c r="I80" s="42"/>
      <c r="J80" s="42"/>
      <c r="K80" s="42"/>
      <c r="L80" s="42">
        <f>53</f>
        <v>53</v>
      </c>
      <c r="M80" s="42">
        <f>53</f>
        <v>53</v>
      </c>
      <c r="N80" s="42">
        <f>53</f>
        <v>53</v>
      </c>
      <c r="O80" s="50">
        <f t="shared" si="2"/>
        <v>5505.5999999999995</v>
      </c>
    </row>
    <row r="81" spans="1:15" ht="62.4">
      <c r="A81" s="40" t="s">
        <v>159</v>
      </c>
      <c r="B81" s="40" t="s">
        <v>160</v>
      </c>
      <c r="C81" s="40" t="s">
        <v>98</v>
      </c>
      <c r="D81" s="45" t="s">
        <v>161</v>
      </c>
      <c r="E81" s="42">
        <f>460</f>
        <v>460</v>
      </c>
      <c r="F81" s="42"/>
      <c r="G81" s="42"/>
      <c r="H81" s="42"/>
      <c r="I81" s="42"/>
      <c r="J81" s="42"/>
      <c r="K81" s="42"/>
      <c r="L81" s="42"/>
      <c r="M81" s="42"/>
      <c r="N81" s="42"/>
      <c r="O81" s="50">
        <f t="shared" si="2"/>
        <v>460</v>
      </c>
    </row>
    <row r="82" spans="1:15" s="94" customFormat="1" ht="93.6">
      <c r="A82" s="29" t="s">
        <v>169</v>
      </c>
      <c r="B82" s="29" t="s">
        <v>168</v>
      </c>
      <c r="C82" s="29"/>
      <c r="D82" s="109" t="s">
        <v>170</v>
      </c>
      <c r="E82" s="50">
        <f>SUM(E83:E89)</f>
        <v>28016.644549999997</v>
      </c>
      <c r="F82" s="50">
        <f t="shared" ref="F82:N82" si="13">SUM(F83:F89)</f>
        <v>0</v>
      </c>
      <c r="G82" s="50">
        <f t="shared" si="13"/>
        <v>0</v>
      </c>
      <c r="H82" s="50">
        <f t="shared" si="13"/>
        <v>0</v>
      </c>
      <c r="I82" s="50">
        <f t="shared" si="13"/>
        <v>0</v>
      </c>
      <c r="J82" s="50">
        <f t="shared" si="13"/>
        <v>0</v>
      </c>
      <c r="K82" s="50">
        <f t="shared" si="13"/>
        <v>0</v>
      </c>
      <c r="L82" s="50">
        <f t="shared" si="13"/>
        <v>0</v>
      </c>
      <c r="M82" s="50">
        <f t="shared" si="13"/>
        <v>0</v>
      </c>
      <c r="N82" s="50">
        <f t="shared" si="13"/>
        <v>0</v>
      </c>
      <c r="O82" s="50">
        <f t="shared" si="2"/>
        <v>28016.644549999997</v>
      </c>
    </row>
    <row r="83" spans="1:15" s="95" customFormat="1" ht="265.2">
      <c r="A83" s="46" t="s">
        <v>172</v>
      </c>
      <c r="B83" s="46" t="s">
        <v>171</v>
      </c>
      <c r="C83" s="46" t="s">
        <v>103</v>
      </c>
      <c r="D83" s="47" t="s">
        <v>395</v>
      </c>
      <c r="E83" s="51">
        <f>4585.7+149.90399</f>
        <v>4735.6039899999996</v>
      </c>
      <c r="F83" s="51"/>
      <c r="G83" s="51"/>
      <c r="H83" s="51"/>
      <c r="I83" s="51"/>
      <c r="J83" s="51"/>
      <c r="K83" s="51"/>
      <c r="L83" s="51"/>
      <c r="M83" s="51"/>
      <c r="N83" s="51"/>
      <c r="O83" s="50">
        <f t="shared" si="2"/>
        <v>4735.6039899999996</v>
      </c>
    </row>
    <row r="84" spans="1:15" s="95" customFormat="1" ht="409.6">
      <c r="A84" s="46" t="s">
        <v>183</v>
      </c>
      <c r="B84" s="46" t="s">
        <v>184</v>
      </c>
      <c r="C84" s="46" t="s">
        <v>103</v>
      </c>
      <c r="D84" s="108" t="s">
        <v>379</v>
      </c>
      <c r="E84" s="51">
        <f>910+1.86302</f>
        <v>911.86302000000001</v>
      </c>
      <c r="F84" s="51"/>
      <c r="G84" s="51"/>
      <c r="H84" s="51"/>
      <c r="I84" s="51"/>
      <c r="J84" s="51"/>
      <c r="K84" s="51"/>
      <c r="L84" s="51"/>
      <c r="M84" s="51"/>
      <c r="N84" s="51"/>
      <c r="O84" s="50">
        <f t="shared" si="2"/>
        <v>911.86302000000001</v>
      </c>
    </row>
    <row r="85" spans="1:15" s="95" customFormat="1" ht="109.2">
      <c r="A85" s="46" t="s">
        <v>186</v>
      </c>
      <c r="B85" s="46" t="s">
        <v>185</v>
      </c>
      <c r="C85" s="46" t="s">
        <v>187</v>
      </c>
      <c r="D85" s="47" t="s">
        <v>380</v>
      </c>
      <c r="E85" s="51">
        <f>222.3+17.39368</f>
        <v>239.69368</v>
      </c>
      <c r="F85" s="51"/>
      <c r="G85" s="51"/>
      <c r="H85" s="51"/>
      <c r="I85" s="51"/>
      <c r="J85" s="51"/>
      <c r="K85" s="51"/>
      <c r="L85" s="51"/>
      <c r="M85" s="51"/>
      <c r="N85" s="51"/>
      <c r="O85" s="50">
        <f t="shared" si="2"/>
        <v>239.69368</v>
      </c>
    </row>
    <row r="86" spans="1:15" s="95" customFormat="1" ht="202.8">
      <c r="A86" s="46" t="s">
        <v>194</v>
      </c>
      <c r="B86" s="46" t="s">
        <v>193</v>
      </c>
      <c r="C86" s="46" t="s">
        <v>187</v>
      </c>
      <c r="D86" s="47" t="s">
        <v>396</v>
      </c>
      <c r="E86" s="51">
        <f>169.6-60.90143</f>
        <v>108.69856999999999</v>
      </c>
      <c r="F86" s="51"/>
      <c r="G86" s="51"/>
      <c r="H86" s="51"/>
      <c r="I86" s="51"/>
      <c r="J86" s="51"/>
      <c r="K86" s="51"/>
      <c r="L86" s="51"/>
      <c r="M86" s="51"/>
      <c r="N86" s="51"/>
      <c r="O86" s="50">
        <f t="shared" si="2"/>
        <v>108.69856999999999</v>
      </c>
    </row>
    <row r="87" spans="1:15" s="95" customFormat="1" ht="31.2">
      <c r="A87" s="46" t="s">
        <v>200</v>
      </c>
      <c r="B87" s="46" t="s">
        <v>201</v>
      </c>
      <c r="C87" s="46" t="s">
        <v>187</v>
      </c>
      <c r="D87" s="108" t="s">
        <v>202</v>
      </c>
      <c r="E87" s="51">
        <f>607.7-106.31077</f>
        <v>501.38923000000005</v>
      </c>
      <c r="F87" s="51"/>
      <c r="G87" s="51"/>
      <c r="H87" s="51"/>
      <c r="I87" s="51"/>
      <c r="J87" s="51"/>
      <c r="K87" s="51"/>
      <c r="L87" s="51"/>
      <c r="M87" s="51"/>
      <c r="N87" s="51"/>
      <c r="O87" s="50">
        <f>E87+H87</f>
        <v>501.38923000000005</v>
      </c>
    </row>
    <row r="88" spans="1:15" s="95" customFormat="1" ht="46.8">
      <c r="A88" s="46" t="s">
        <v>234</v>
      </c>
      <c r="B88" s="46" t="s">
        <v>233</v>
      </c>
      <c r="C88" s="46" t="s">
        <v>187</v>
      </c>
      <c r="D88" s="47" t="s">
        <v>235</v>
      </c>
      <c r="E88" s="51">
        <f>16589.5+2588.2+2341.69606</f>
        <v>21519.396059999999</v>
      </c>
      <c r="F88" s="51"/>
      <c r="G88" s="51"/>
      <c r="H88" s="51"/>
      <c r="I88" s="51"/>
      <c r="J88" s="51"/>
      <c r="K88" s="51"/>
      <c r="L88" s="51"/>
      <c r="M88" s="51"/>
      <c r="N88" s="51"/>
      <c r="O88" s="50">
        <f>E88+H88</f>
        <v>21519.396059999999</v>
      </c>
    </row>
    <row r="89" spans="1:15" s="95" customFormat="1" ht="62.4">
      <c r="A89" s="46" t="s">
        <v>239</v>
      </c>
      <c r="B89" s="46" t="s">
        <v>240</v>
      </c>
      <c r="C89" s="46" t="s">
        <v>160</v>
      </c>
      <c r="D89" s="108" t="s">
        <v>241</v>
      </c>
      <c r="E89" s="51"/>
      <c r="F89" s="51"/>
      <c r="G89" s="51"/>
      <c r="H89" s="51"/>
      <c r="I89" s="51"/>
      <c r="J89" s="51"/>
      <c r="K89" s="51"/>
      <c r="L89" s="51"/>
      <c r="M89" s="51"/>
      <c r="N89" s="51"/>
      <c r="O89" s="50">
        <f>E89+H89</f>
        <v>0</v>
      </c>
    </row>
    <row r="90" spans="1:15" s="94" customFormat="1" ht="46.8">
      <c r="A90" s="29" t="s">
        <v>174</v>
      </c>
      <c r="B90" s="29" t="s">
        <v>173</v>
      </c>
      <c r="C90" s="29"/>
      <c r="D90" s="110" t="s">
        <v>175</v>
      </c>
      <c r="E90" s="50">
        <f>SUM(E91:E96)</f>
        <v>129.80000000000001</v>
      </c>
      <c r="F90" s="50">
        <f t="shared" ref="F90:O90" si="14">SUM(F91:F96)</f>
        <v>0</v>
      </c>
      <c r="G90" s="50">
        <f t="shared" si="14"/>
        <v>0</v>
      </c>
      <c r="H90" s="50">
        <f t="shared" si="14"/>
        <v>0</v>
      </c>
      <c r="I90" s="50">
        <f t="shared" si="14"/>
        <v>0</v>
      </c>
      <c r="J90" s="50">
        <f t="shared" si="14"/>
        <v>0</v>
      </c>
      <c r="K90" s="50">
        <f t="shared" si="14"/>
        <v>0</v>
      </c>
      <c r="L90" s="50">
        <f t="shared" si="14"/>
        <v>0</v>
      </c>
      <c r="M90" s="50">
        <f t="shared" si="14"/>
        <v>0</v>
      </c>
      <c r="N90" s="50">
        <f t="shared" si="14"/>
        <v>0</v>
      </c>
      <c r="O90" s="50">
        <f t="shared" si="14"/>
        <v>129.80000000000001</v>
      </c>
    </row>
    <row r="91" spans="1:15" s="95" customFormat="1" ht="218.4">
      <c r="A91" s="46" t="s">
        <v>177</v>
      </c>
      <c r="B91" s="46" t="s">
        <v>176</v>
      </c>
      <c r="C91" s="46" t="s">
        <v>103</v>
      </c>
      <c r="D91" s="47" t="s">
        <v>397</v>
      </c>
      <c r="E91" s="51">
        <f>26.5-4</f>
        <v>22.5</v>
      </c>
      <c r="F91" s="51"/>
      <c r="G91" s="51"/>
      <c r="H91" s="51"/>
      <c r="I91" s="51"/>
      <c r="J91" s="51"/>
      <c r="K91" s="51"/>
      <c r="L91" s="51"/>
      <c r="M91" s="51"/>
      <c r="N91" s="51"/>
      <c r="O91" s="51">
        <f t="shared" ref="O91:O139" si="15">E91+H91</f>
        <v>22.5</v>
      </c>
    </row>
    <row r="92" spans="1:15" s="95" customFormat="1" ht="115.5" customHeight="1">
      <c r="A92" s="46" t="s">
        <v>188</v>
      </c>
      <c r="B92" s="46" t="s">
        <v>189</v>
      </c>
      <c r="C92" s="46" t="s">
        <v>187</v>
      </c>
      <c r="D92" s="47" t="s">
        <v>190</v>
      </c>
      <c r="E92" s="51">
        <f>2-2</f>
        <v>0</v>
      </c>
      <c r="F92" s="51"/>
      <c r="G92" s="51"/>
      <c r="H92" s="51"/>
      <c r="I92" s="51"/>
      <c r="J92" s="51"/>
      <c r="K92" s="51"/>
      <c r="L92" s="51"/>
      <c r="M92" s="51"/>
      <c r="N92" s="51"/>
      <c r="O92" s="51">
        <f t="shared" si="15"/>
        <v>0</v>
      </c>
    </row>
    <row r="93" spans="1:15" s="95" customFormat="1" ht="202.8">
      <c r="A93" s="46" t="s">
        <v>196</v>
      </c>
      <c r="B93" s="46" t="s">
        <v>195</v>
      </c>
      <c r="C93" s="46" t="s">
        <v>187</v>
      </c>
      <c r="D93" s="108" t="s">
        <v>398</v>
      </c>
      <c r="E93" s="51">
        <f>4-4</f>
        <v>0</v>
      </c>
      <c r="F93" s="51"/>
      <c r="G93" s="51"/>
      <c r="H93" s="51"/>
      <c r="I93" s="51"/>
      <c r="J93" s="51"/>
      <c r="K93" s="51"/>
      <c r="L93" s="51"/>
      <c r="M93" s="51"/>
      <c r="N93" s="51"/>
      <c r="O93" s="51">
        <f t="shared" si="15"/>
        <v>0</v>
      </c>
    </row>
    <row r="94" spans="1:15" s="95" customFormat="1" ht="46.8">
      <c r="A94" s="46" t="s">
        <v>203</v>
      </c>
      <c r="B94" s="46" t="s">
        <v>204</v>
      </c>
      <c r="C94" s="46" t="s">
        <v>187</v>
      </c>
      <c r="D94" s="47" t="s">
        <v>205</v>
      </c>
      <c r="E94" s="51">
        <f>6.4</f>
        <v>6.4</v>
      </c>
      <c r="F94" s="51"/>
      <c r="G94" s="51"/>
      <c r="H94" s="51"/>
      <c r="I94" s="51"/>
      <c r="J94" s="51"/>
      <c r="K94" s="51"/>
      <c r="L94" s="51"/>
      <c r="M94" s="51"/>
      <c r="N94" s="51"/>
      <c r="O94" s="51">
        <f t="shared" si="15"/>
        <v>6.4</v>
      </c>
    </row>
    <row r="95" spans="1:15" s="95" customFormat="1" ht="62.4">
      <c r="A95" s="46" t="s">
        <v>236</v>
      </c>
      <c r="B95" s="46" t="s">
        <v>237</v>
      </c>
      <c r="C95" s="46" t="s">
        <v>160</v>
      </c>
      <c r="D95" s="47" t="s">
        <v>238</v>
      </c>
      <c r="E95" s="51">
        <f>100.9</f>
        <v>100.9</v>
      </c>
      <c r="F95" s="51"/>
      <c r="G95" s="51"/>
      <c r="H95" s="51"/>
      <c r="I95" s="51"/>
      <c r="J95" s="51"/>
      <c r="K95" s="51"/>
      <c r="L95" s="51"/>
      <c r="M95" s="51"/>
      <c r="N95" s="51"/>
      <c r="O95" s="51">
        <f t="shared" si="15"/>
        <v>100.9</v>
      </c>
    </row>
    <row r="96" spans="1:15" s="95" customFormat="1" ht="78">
      <c r="A96" s="46" t="s">
        <v>243</v>
      </c>
      <c r="B96" s="46" t="s">
        <v>244</v>
      </c>
      <c r="C96" s="46" t="s">
        <v>160</v>
      </c>
      <c r="D96" s="47" t="s">
        <v>399</v>
      </c>
      <c r="E96" s="51"/>
      <c r="F96" s="51"/>
      <c r="G96" s="51"/>
      <c r="H96" s="51"/>
      <c r="I96" s="51"/>
      <c r="J96" s="51"/>
      <c r="K96" s="51"/>
      <c r="L96" s="51"/>
      <c r="M96" s="51"/>
      <c r="N96" s="51"/>
      <c r="O96" s="51">
        <f t="shared" si="15"/>
        <v>0</v>
      </c>
    </row>
    <row r="97" spans="1:15" s="94" customFormat="1" ht="218.4">
      <c r="A97" s="29" t="s">
        <v>179</v>
      </c>
      <c r="B97" s="29" t="s">
        <v>178</v>
      </c>
      <c r="C97" s="29" t="s">
        <v>103</v>
      </c>
      <c r="D97" s="109" t="s">
        <v>180</v>
      </c>
      <c r="E97" s="50">
        <f>E98+E99+E100+E101</f>
        <v>925</v>
      </c>
      <c r="F97" s="50">
        <f t="shared" ref="F97:O97" si="16">F98+F99+F100+F101</f>
        <v>0</v>
      </c>
      <c r="G97" s="50">
        <f t="shared" si="16"/>
        <v>0</v>
      </c>
      <c r="H97" s="50">
        <f t="shared" si="16"/>
        <v>0</v>
      </c>
      <c r="I97" s="50">
        <f t="shared" si="16"/>
        <v>0</v>
      </c>
      <c r="J97" s="50">
        <f t="shared" si="16"/>
        <v>0</v>
      </c>
      <c r="K97" s="50">
        <f t="shared" si="16"/>
        <v>0</v>
      </c>
      <c r="L97" s="50">
        <f t="shared" si="16"/>
        <v>0</v>
      </c>
      <c r="M97" s="50">
        <f t="shared" si="16"/>
        <v>0</v>
      </c>
      <c r="N97" s="50">
        <f t="shared" si="16"/>
        <v>0</v>
      </c>
      <c r="O97" s="50">
        <f t="shared" si="16"/>
        <v>925</v>
      </c>
    </row>
    <row r="98" spans="1:15" s="95" customFormat="1" ht="249.6">
      <c r="A98" s="46" t="s">
        <v>181</v>
      </c>
      <c r="B98" s="46" t="s">
        <v>182</v>
      </c>
      <c r="C98" s="46" t="s">
        <v>103</v>
      </c>
      <c r="D98" s="47" t="s">
        <v>400</v>
      </c>
      <c r="E98" s="51">
        <v>206</v>
      </c>
      <c r="F98" s="51"/>
      <c r="G98" s="51"/>
      <c r="H98" s="51"/>
      <c r="I98" s="51"/>
      <c r="J98" s="51"/>
      <c r="K98" s="51"/>
      <c r="L98" s="51"/>
      <c r="M98" s="51"/>
      <c r="N98" s="51"/>
      <c r="O98" s="51">
        <f t="shared" si="15"/>
        <v>206</v>
      </c>
    </row>
    <row r="99" spans="1:15" s="95" customFormat="1" ht="93.6">
      <c r="A99" s="46" t="s">
        <v>413</v>
      </c>
      <c r="B99" s="46" t="s">
        <v>191</v>
      </c>
      <c r="C99" s="46" t="s">
        <v>187</v>
      </c>
      <c r="D99" s="108" t="s">
        <v>192</v>
      </c>
      <c r="E99" s="51">
        <v>9</v>
      </c>
      <c r="F99" s="51"/>
      <c r="G99" s="51"/>
      <c r="H99" s="51"/>
      <c r="I99" s="51"/>
      <c r="J99" s="51"/>
      <c r="K99" s="51"/>
      <c r="L99" s="51"/>
      <c r="M99" s="51"/>
      <c r="N99" s="51"/>
      <c r="O99" s="51">
        <f t="shared" si="15"/>
        <v>9</v>
      </c>
    </row>
    <row r="100" spans="1:15" s="95" customFormat="1" ht="31.2">
      <c r="A100" s="46" t="s">
        <v>197</v>
      </c>
      <c r="B100" s="46" t="s">
        <v>198</v>
      </c>
      <c r="C100" s="46" t="s">
        <v>187</v>
      </c>
      <c r="D100" s="111" t="s">
        <v>199</v>
      </c>
      <c r="E100" s="51">
        <v>310</v>
      </c>
      <c r="F100" s="51"/>
      <c r="G100" s="51"/>
      <c r="H100" s="51"/>
      <c r="I100" s="51"/>
      <c r="J100" s="51"/>
      <c r="K100" s="51"/>
      <c r="L100" s="51"/>
      <c r="M100" s="51"/>
      <c r="N100" s="51"/>
      <c r="O100" s="51">
        <f t="shared" si="15"/>
        <v>310</v>
      </c>
    </row>
    <row r="101" spans="1:15" s="95" customFormat="1" ht="46.8">
      <c r="A101" s="46" t="s">
        <v>275</v>
      </c>
      <c r="B101" s="46" t="s">
        <v>276</v>
      </c>
      <c r="C101" s="46" t="s">
        <v>187</v>
      </c>
      <c r="D101" s="47" t="s">
        <v>277</v>
      </c>
      <c r="E101" s="51">
        <v>400</v>
      </c>
      <c r="F101" s="51"/>
      <c r="G101" s="51"/>
      <c r="H101" s="51"/>
      <c r="I101" s="51"/>
      <c r="J101" s="51"/>
      <c r="K101" s="51"/>
      <c r="L101" s="51"/>
      <c r="M101" s="51"/>
      <c r="N101" s="51"/>
      <c r="O101" s="51">
        <f t="shared" si="15"/>
        <v>400</v>
      </c>
    </row>
    <row r="102" spans="1:15" s="94" customFormat="1" ht="62.4">
      <c r="A102" s="29" t="s">
        <v>206</v>
      </c>
      <c r="B102" s="29" t="s">
        <v>207</v>
      </c>
      <c r="C102" s="29"/>
      <c r="D102" s="109" t="s">
        <v>208</v>
      </c>
      <c r="E102" s="50">
        <f>E103+E104+E105+E106+E107+E108+E109+E110+E111</f>
        <v>65163.6</v>
      </c>
      <c r="F102" s="50">
        <f t="shared" ref="F102:N102" si="17">F103+F104+F105+F106+F107+F108+F109+F110+F111</f>
        <v>0</v>
      </c>
      <c r="G102" s="50">
        <f t="shared" si="17"/>
        <v>0</v>
      </c>
      <c r="H102" s="50">
        <f t="shared" si="17"/>
        <v>0</v>
      </c>
      <c r="I102" s="50">
        <f t="shared" si="17"/>
        <v>0</v>
      </c>
      <c r="J102" s="50">
        <f t="shared" si="17"/>
        <v>0</v>
      </c>
      <c r="K102" s="50">
        <f t="shared" si="17"/>
        <v>0</v>
      </c>
      <c r="L102" s="50">
        <f t="shared" si="17"/>
        <v>0</v>
      </c>
      <c r="M102" s="50">
        <f t="shared" si="17"/>
        <v>0</v>
      </c>
      <c r="N102" s="50">
        <f t="shared" si="17"/>
        <v>0</v>
      </c>
      <c r="O102" s="50">
        <f>O103+O104+O105+O106+O107+O108+O109+O110+O111</f>
        <v>65163.6</v>
      </c>
    </row>
    <row r="103" spans="1:15" ht="27.6">
      <c r="A103" s="46" t="s">
        <v>209</v>
      </c>
      <c r="B103" s="46" t="s">
        <v>210</v>
      </c>
      <c r="C103" s="46" t="s">
        <v>131</v>
      </c>
      <c r="D103" s="52" t="s">
        <v>211</v>
      </c>
      <c r="E103" s="42">
        <f>644.6</f>
        <v>644.6</v>
      </c>
      <c r="F103" s="42"/>
      <c r="G103" s="42"/>
      <c r="H103" s="42"/>
      <c r="I103" s="42"/>
      <c r="J103" s="42"/>
      <c r="K103" s="42"/>
      <c r="L103" s="42"/>
      <c r="M103" s="42"/>
      <c r="N103" s="42"/>
      <c r="O103" s="42">
        <f t="shared" si="15"/>
        <v>644.6</v>
      </c>
    </row>
    <row r="104" spans="1:15" ht="27.6">
      <c r="A104" s="46" t="s">
        <v>212</v>
      </c>
      <c r="B104" s="46" t="s">
        <v>213</v>
      </c>
      <c r="C104" s="46" t="s">
        <v>131</v>
      </c>
      <c r="D104" s="52" t="s">
        <v>214</v>
      </c>
      <c r="E104" s="42">
        <f>426.3</f>
        <v>426.3</v>
      </c>
      <c r="F104" s="42"/>
      <c r="G104" s="42"/>
      <c r="H104" s="42"/>
      <c r="I104" s="42"/>
      <c r="J104" s="42"/>
      <c r="K104" s="42"/>
      <c r="L104" s="42"/>
      <c r="M104" s="42"/>
      <c r="N104" s="42"/>
      <c r="O104" s="42">
        <f t="shared" si="15"/>
        <v>426.3</v>
      </c>
    </row>
    <row r="105" spans="1:15">
      <c r="A105" s="46" t="s">
        <v>215</v>
      </c>
      <c r="B105" s="46" t="s">
        <v>216</v>
      </c>
      <c r="C105" s="46" t="s">
        <v>131</v>
      </c>
      <c r="D105" s="52" t="s">
        <v>217</v>
      </c>
      <c r="E105" s="42">
        <f>40111.6</f>
        <v>40111.599999999999</v>
      </c>
      <c r="F105" s="42"/>
      <c r="G105" s="42"/>
      <c r="H105" s="42"/>
      <c r="I105" s="42"/>
      <c r="J105" s="42"/>
      <c r="K105" s="42"/>
      <c r="L105" s="42"/>
      <c r="M105" s="42"/>
      <c r="N105" s="42"/>
      <c r="O105" s="42">
        <f t="shared" si="15"/>
        <v>40111.599999999999</v>
      </c>
    </row>
    <row r="106" spans="1:15" ht="27.6">
      <c r="A106" s="46" t="s">
        <v>218</v>
      </c>
      <c r="B106" s="46" t="s">
        <v>219</v>
      </c>
      <c r="C106" s="46" t="s">
        <v>131</v>
      </c>
      <c r="D106" s="52" t="s">
        <v>220</v>
      </c>
      <c r="E106" s="42">
        <f>3277.7</f>
        <v>3277.7</v>
      </c>
      <c r="F106" s="42"/>
      <c r="G106" s="42"/>
      <c r="H106" s="42"/>
      <c r="I106" s="42"/>
      <c r="J106" s="42"/>
      <c r="K106" s="42"/>
      <c r="L106" s="42"/>
      <c r="M106" s="42"/>
      <c r="N106" s="42"/>
      <c r="O106" s="42">
        <f t="shared" si="15"/>
        <v>3277.7</v>
      </c>
    </row>
    <row r="107" spans="1:15">
      <c r="A107" s="46" t="s">
        <v>225</v>
      </c>
      <c r="B107" s="46" t="s">
        <v>224</v>
      </c>
      <c r="C107" s="46" t="s">
        <v>131</v>
      </c>
      <c r="D107" s="52" t="s">
        <v>223</v>
      </c>
      <c r="E107" s="42">
        <f>5659.7</f>
        <v>5659.7</v>
      </c>
      <c r="F107" s="42"/>
      <c r="G107" s="42"/>
      <c r="H107" s="42"/>
      <c r="I107" s="42"/>
      <c r="J107" s="42"/>
      <c r="K107" s="42"/>
      <c r="L107" s="42"/>
      <c r="M107" s="42"/>
      <c r="N107" s="42"/>
      <c r="O107" s="42">
        <f t="shared" si="15"/>
        <v>5659.7</v>
      </c>
    </row>
    <row r="108" spans="1:15">
      <c r="A108" s="46" t="s">
        <v>221</v>
      </c>
      <c r="B108" s="46" t="s">
        <v>222</v>
      </c>
      <c r="C108" s="46" t="s">
        <v>131</v>
      </c>
      <c r="D108" s="52" t="s">
        <v>226</v>
      </c>
      <c r="E108" s="42">
        <f>270.8</f>
        <v>270.8</v>
      </c>
      <c r="F108" s="42"/>
      <c r="G108" s="42"/>
      <c r="H108" s="42"/>
      <c r="I108" s="42"/>
      <c r="J108" s="42"/>
      <c r="K108" s="42"/>
      <c r="L108" s="42"/>
      <c r="M108" s="42"/>
      <c r="N108" s="42"/>
      <c r="O108" s="42">
        <f t="shared" si="15"/>
        <v>270.8</v>
      </c>
    </row>
    <row r="109" spans="1:15">
      <c r="A109" s="46" t="s">
        <v>227</v>
      </c>
      <c r="B109" s="46" t="s">
        <v>228</v>
      </c>
      <c r="C109" s="46" t="s">
        <v>131</v>
      </c>
      <c r="D109" s="52" t="s">
        <v>229</v>
      </c>
      <c r="E109" s="96">
        <f>68</f>
        <v>68</v>
      </c>
      <c r="F109" s="42"/>
      <c r="G109" s="42"/>
      <c r="H109" s="42"/>
      <c r="I109" s="42"/>
      <c r="J109" s="42"/>
      <c r="K109" s="42"/>
      <c r="L109" s="42"/>
      <c r="M109" s="42"/>
      <c r="N109" s="42"/>
      <c r="O109" s="96">
        <f t="shared" si="15"/>
        <v>68</v>
      </c>
    </row>
    <row r="110" spans="1:15" ht="27.6">
      <c r="A110" s="46" t="s">
        <v>230</v>
      </c>
      <c r="B110" s="46" t="s">
        <v>231</v>
      </c>
      <c r="C110" s="46" t="s">
        <v>131</v>
      </c>
      <c r="D110" s="52" t="s">
        <v>232</v>
      </c>
      <c r="E110" s="42">
        <f>7755.8</f>
        <v>7755.8</v>
      </c>
      <c r="F110" s="42"/>
      <c r="G110" s="42"/>
      <c r="H110" s="42"/>
      <c r="I110" s="42"/>
      <c r="J110" s="42"/>
      <c r="K110" s="42"/>
      <c r="L110" s="42"/>
      <c r="M110" s="42"/>
      <c r="N110" s="42"/>
      <c r="O110" s="42">
        <f t="shared" si="15"/>
        <v>7755.8</v>
      </c>
    </row>
    <row r="111" spans="1:15" ht="31.2">
      <c r="A111" s="46" t="s">
        <v>272</v>
      </c>
      <c r="B111" s="46" t="s">
        <v>273</v>
      </c>
      <c r="C111" s="46" t="s">
        <v>95</v>
      </c>
      <c r="D111" s="108" t="s">
        <v>274</v>
      </c>
      <c r="E111" s="42">
        <f>6949.1</f>
        <v>6949.1</v>
      </c>
      <c r="F111" s="42"/>
      <c r="G111" s="42"/>
      <c r="H111" s="42"/>
      <c r="I111" s="42"/>
      <c r="J111" s="42"/>
      <c r="K111" s="42"/>
      <c r="L111" s="42"/>
      <c r="M111" s="42"/>
      <c r="N111" s="42"/>
      <c r="O111" s="42">
        <f t="shared" si="15"/>
        <v>6949.1</v>
      </c>
    </row>
    <row r="112" spans="1:15" ht="31.2">
      <c r="A112" s="40" t="s">
        <v>437</v>
      </c>
      <c r="B112" s="40" t="s">
        <v>438</v>
      </c>
      <c r="C112" s="40" t="s">
        <v>95</v>
      </c>
      <c r="D112" s="45" t="s">
        <v>439</v>
      </c>
      <c r="E112" s="42">
        <f>786</f>
        <v>786</v>
      </c>
      <c r="F112" s="42"/>
      <c r="G112" s="42"/>
      <c r="H112" s="42"/>
      <c r="I112" s="42"/>
      <c r="J112" s="42"/>
      <c r="K112" s="42"/>
      <c r="L112" s="42"/>
      <c r="M112" s="42"/>
      <c r="N112" s="42"/>
      <c r="O112" s="42">
        <f t="shared" si="15"/>
        <v>786</v>
      </c>
    </row>
    <row r="113" spans="1:15" ht="62.4">
      <c r="A113" s="46" t="s">
        <v>252</v>
      </c>
      <c r="B113" s="46" t="s">
        <v>253</v>
      </c>
      <c r="C113" s="46"/>
      <c r="D113" s="45" t="s">
        <v>254</v>
      </c>
      <c r="E113" s="42">
        <f>E114</f>
        <v>4047.2</v>
      </c>
      <c r="F113" s="42">
        <f>F114</f>
        <v>3898.8</v>
      </c>
      <c r="G113" s="42">
        <f>G114</f>
        <v>45.8</v>
      </c>
      <c r="H113" s="42">
        <f>H114</f>
        <v>26</v>
      </c>
      <c r="I113" s="42">
        <f>I114</f>
        <v>12</v>
      </c>
      <c r="J113" s="42"/>
      <c r="K113" s="42"/>
      <c r="L113" s="42">
        <f>L114</f>
        <v>14</v>
      </c>
      <c r="M113" s="42">
        <f>M114</f>
        <v>14</v>
      </c>
      <c r="N113" s="42">
        <f>N114</f>
        <v>14</v>
      </c>
      <c r="O113" s="42">
        <f>E113+H113</f>
        <v>4073.2</v>
      </c>
    </row>
    <row r="114" spans="1:15" ht="62.4">
      <c r="A114" s="40" t="s">
        <v>255</v>
      </c>
      <c r="B114" s="40" t="s">
        <v>256</v>
      </c>
      <c r="C114" s="40" t="s">
        <v>99</v>
      </c>
      <c r="D114" s="108" t="s">
        <v>257</v>
      </c>
      <c r="E114" s="103">
        <f>3296.5+567.7+54.4+128.6</f>
        <v>4047.2</v>
      </c>
      <c r="F114" s="103">
        <f>3148.1+567.7+54.4+128.6</f>
        <v>3898.8</v>
      </c>
      <c r="G114" s="103">
        <v>45.8</v>
      </c>
      <c r="H114" s="42">
        <f>I114+L114</f>
        <v>26</v>
      </c>
      <c r="I114" s="42">
        <v>12</v>
      </c>
      <c r="J114" s="42"/>
      <c r="K114" s="42"/>
      <c r="L114" s="42">
        <f>14</f>
        <v>14</v>
      </c>
      <c r="M114" s="42">
        <f>14</f>
        <v>14</v>
      </c>
      <c r="N114" s="42">
        <f>14</f>
        <v>14</v>
      </c>
      <c r="O114" s="42">
        <f>E114+H114</f>
        <v>4073.2</v>
      </c>
    </row>
    <row r="115" spans="1:15" ht="31.2">
      <c r="A115" s="40" t="s">
        <v>245</v>
      </c>
      <c r="B115" s="40" t="s">
        <v>145</v>
      </c>
      <c r="C115" s="40"/>
      <c r="D115" s="45" t="s">
        <v>147</v>
      </c>
      <c r="E115" s="42">
        <f>E116+E117</f>
        <v>2208.5</v>
      </c>
      <c r="F115" s="42">
        <f>F116+F117</f>
        <v>1793.8</v>
      </c>
      <c r="G115" s="42">
        <f>G116+G117</f>
        <v>75.5</v>
      </c>
      <c r="H115" s="42"/>
      <c r="I115" s="42"/>
      <c r="J115" s="42"/>
      <c r="K115" s="42"/>
      <c r="L115" s="42"/>
      <c r="M115" s="42"/>
      <c r="N115" s="42"/>
      <c r="O115" s="42">
        <f>O116+O117</f>
        <v>2208.5</v>
      </c>
    </row>
    <row r="116" spans="1:15" s="95" customFormat="1" ht="31.2">
      <c r="A116" s="46" t="s">
        <v>248</v>
      </c>
      <c r="B116" s="46" t="s">
        <v>246</v>
      </c>
      <c r="C116" s="46" t="s">
        <v>131</v>
      </c>
      <c r="D116" s="47" t="s">
        <v>247</v>
      </c>
      <c r="E116" s="103">
        <f>894.8+79.9+13.2</f>
        <v>987.9</v>
      </c>
      <c r="F116" s="103">
        <f>746.6+79.9+4.4</f>
        <v>830.9</v>
      </c>
      <c r="G116" s="103">
        <v>75.5</v>
      </c>
      <c r="H116" s="42"/>
      <c r="I116" s="42"/>
      <c r="J116" s="42"/>
      <c r="K116" s="42"/>
      <c r="L116" s="42"/>
      <c r="M116" s="42"/>
      <c r="N116" s="42"/>
      <c r="O116" s="42">
        <f t="shared" si="15"/>
        <v>987.9</v>
      </c>
    </row>
    <row r="117" spans="1:15" s="95" customFormat="1" ht="31.2">
      <c r="A117" s="46" t="s">
        <v>249</v>
      </c>
      <c r="B117" s="46" t="s">
        <v>250</v>
      </c>
      <c r="C117" s="46" t="s">
        <v>131</v>
      </c>
      <c r="D117" s="47" t="s">
        <v>251</v>
      </c>
      <c r="E117" s="42">
        <f>1019.3+156+45.3</f>
        <v>1220.5999999999999</v>
      </c>
      <c r="F117" s="42">
        <f>761.6+156+45.3</f>
        <v>962.9</v>
      </c>
      <c r="G117" s="42"/>
      <c r="H117" s="42"/>
      <c r="I117" s="42"/>
      <c r="J117" s="42"/>
      <c r="K117" s="42"/>
      <c r="L117" s="42"/>
      <c r="M117" s="42"/>
      <c r="N117" s="42"/>
      <c r="O117" s="42">
        <f t="shared" si="15"/>
        <v>1220.5999999999999</v>
      </c>
    </row>
    <row r="118" spans="1:15" ht="93.6">
      <c r="A118" s="40" t="s">
        <v>258</v>
      </c>
      <c r="B118" s="40" t="s">
        <v>259</v>
      </c>
      <c r="C118" s="40"/>
      <c r="D118" s="45" t="s">
        <v>260</v>
      </c>
      <c r="E118" s="103">
        <f>E119</f>
        <v>546</v>
      </c>
      <c r="F118" s="103"/>
      <c r="G118" s="103"/>
      <c r="H118" s="42"/>
      <c r="I118" s="42"/>
      <c r="J118" s="42"/>
      <c r="K118" s="42"/>
      <c r="L118" s="42"/>
      <c r="M118" s="42"/>
      <c r="N118" s="42"/>
      <c r="O118" s="42">
        <f>O119</f>
        <v>546</v>
      </c>
    </row>
    <row r="119" spans="1:15" ht="78">
      <c r="A119" s="40" t="s">
        <v>261</v>
      </c>
      <c r="B119" s="40" t="s">
        <v>262</v>
      </c>
      <c r="C119" s="40" t="s">
        <v>95</v>
      </c>
      <c r="D119" s="108" t="s">
        <v>263</v>
      </c>
      <c r="E119" s="42">
        <v>546</v>
      </c>
      <c r="F119" s="42"/>
      <c r="G119" s="42"/>
      <c r="H119" s="42"/>
      <c r="I119" s="42"/>
      <c r="J119" s="42"/>
      <c r="K119" s="42"/>
      <c r="L119" s="42"/>
      <c r="M119" s="42"/>
      <c r="N119" s="42"/>
      <c r="O119" s="42">
        <f t="shared" si="15"/>
        <v>546</v>
      </c>
    </row>
    <row r="120" spans="1:15" ht="93.6">
      <c r="A120" s="40" t="s">
        <v>264</v>
      </c>
      <c r="B120" s="40" t="s">
        <v>265</v>
      </c>
      <c r="C120" s="40" t="s">
        <v>160</v>
      </c>
      <c r="D120" s="45" t="s">
        <v>381</v>
      </c>
      <c r="E120" s="42">
        <f>507.4+97.8</f>
        <v>605.19999999999993</v>
      </c>
      <c r="F120" s="42"/>
      <c r="G120" s="42"/>
      <c r="H120" s="42"/>
      <c r="I120" s="42"/>
      <c r="J120" s="42"/>
      <c r="K120" s="42"/>
      <c r="L120" s="42"/>
      <c r="M120" s="42"/>
      <c r="N120" s="42"/>
      <c r="O120" s="42">
        <f t="shared" si="15"/>
        <v>605.19999999999993</v>
      </c>
    </row>
    <row r="121" spans="1:15" ht="15.6">
      <c r="A121" s="40" t="s">
        <v>267</v>
      </c>
      <c r="B121" s="40" t="s">
        <v>266</v>
      </c>
      <c r="C121" s="40"/>
      <c r="D121" s="45" t="s">
        <v>268</v>
      </c>
      <c r="E121" s="42">
        <f>E122</f>
        <v>50</v>
      </c>
      <c r="F121" s="42"/>
      <c r="G121" s="42"/>
      <c r="H121" s="42"/>
      <c r="I121" s="42"/>
      <c r="J121" s="42"/>
      <c r="K121" s="42"/>
      <c r="L121" s="42"/>
      <c r="M121" s="42"/>
      <c r="N121" s="42"/>
      <c r="O121" s="42">
        <f>O122</f>
        <v>50</v>
      </c>
    </row>
    <row r="122" spans="1:15" ht="46.8">
      <c r="A122" s="40" t="s">
        <v>269</v>
      </c>
      <c r="B122" s="40" t="s">
        <v>270</v>
      </c>
      <c r="C122" s="40" t="s">
        <v>103</v>
      </c>
      <c r="D122" s="108" t="s">
        <v>271</v>
      </c>
      <c r="E122" s="42">
        <v>50</v>
      </c>
      <c r="F122" s="42"/>
      <c r="G122" s="42"/>
      <c r="H122" s="42"/>
      <c r="I122" s="42"/>
      <c r="J122" s="42"/>
      <c r="K122" s="42"/>
      <c r="L122" s="42"/>
      <c r="M122" s="42"/>
      <c r="N122" s="42"/>
      <c r="O122" s="42">
        <f t="shared" si="15"/>
        <v>50</v>
      </c>
    </row>
    <row r="123" spans="1:15">
      <c r="A123" s="40" t="s">
        <v>242</v>
      </c>
      <c r="B123" s="40" t="s">
        <v>61</v>
      </c>
      <c r="C123" s="40" t="s">
        <v>63</v>
      </c>
      <c r="D123" s="80" t="s">
        <v>14</v>
      </c>
      <c r="E123" s="42">
        <f>19944+1119.6</f>
        <v>21063.599999999999</v>
      </c>
      <c r="F123" s="42"/>
      <c r="G123" s="42"/>
      <c r="H123" s="42"/>
      <c r="I123" s="42"/>
      <c r="J123" s="42"/>
      <c r="K123" s="42"/>
      <c r="L123" s="42"/>
      <c r="M123" s="42"/>
      <c r="N123" s="42"/>
      <c r="O123" s="42">
        <f>E123+H123</f>
        <v>21063.599999999999</v>
      </c>
    </row>
    <row r="124" spans="1:15">
      <c r="A124" s="40" t="s">
        <v>278</v>
      </c>
      <c r="B124" s="40" t="s">
        <v>80</v>
      </c>
      <c r="C124" s="40" t="s">
        <v>81</v>
      </c>
      <c r="D124" s="80" t="s">
        <v>33</v>
      </c>
      <c r="E124" s="42"/>
      <c r="F124" s="42"/>
      <c r="G124" s="42"/>
      <c r="H124" s="42"/>
      <c r="I124" s="42"/>
      <c r="J124" s="42"/>
      <c r="K124" s="42"/>
      <c r="L124" s="42"/>
      <c r="M124" s="42"/>
      <c r="N124" s="42"/>
      <c r="O124" s="42">
        <f t="shared" si="15"/>
        <v>0</v>
      </c>
    </row>
    <row r="125" spans="1:15" ht="27.6">
      <c r="A125" s="29" t="s">
        <v>279</v>
      </c>
      <c r="B125" s="40"/>
      <c r="C125" s="40"/>
      <c r="D125" s="92" t="s">
        <v>39</v>
      </c>
      <c r="E125" s="42">
        <f>E126</f>
        <v>744.1</v>
      </c>
      <c r="F125" s="42">
        <f>F126</f>
        <v>535.70000000000005</v>
      </c>
      <c r="G125" s="42"/>
      <c r="H125" s="42"/>
      <c r="I125" s="42"/>
      <c r="J125" s="42"/>
      <c r="K125" s="42"/>
      <c r="L125" s="42"/>
      <c r="M125" s="42"/>
      <c r="N125" s="42"/>
      <c r="O125" s="50">
        <f>O126</f>
        <v>744.1</v>
      </c>
    </row>
    <row r="126" spans="1:15" ht="27.6">
      <c r="A126" s="29" t="s">
        <v>280</v>
      </c>
      <c r="B126" s="40"/>
      <c r="C126" s="40"/>
      <c r="D126" s="92" t="s">
        <v>39</v>
      </c>
      <c r="E126" s="50">
        <f>E127+E129+E130</f>
        <v>744.1</v>
      </c>
      <c r="F126" s="50">
        <f>F127+F129+F130</f>
        <v>535.70000000000005</v>
      </c>
      <c r="G126" s="50"/>
      <c r="H126" s="50"/>
      <c r="I126" s="50"/>
      <c r="J126" s="50"/>
      <c r="K126" s="50"/>
      <c r="L126" s="50"/>
      <c r="M126" s="50"/>
      <c r="N126" s="50"/>
      <c r="O126" s="50">
        <f t="shared" si="15"/>
        <v>744.1</v>
      </c>
    </row>
    <row r="127" spans="1:15" ht="41.4">
      <c r="A127" s="40" t="s">
        <v>281</v>
      </c>
      <c r="B127" s="40" t="s">
        <v>92</v>
      </c>
      <c r="C127" s="40" t="s">
        <v>59</v>
      </c>
      <c r="D127" s="49" t="s">
        <v>94</v>
      </c>
      <c r="E127" s="42">
        <f>471.1+89.4</f>
        <v>560.5</v>
      </c>
      <c r="F127" s="42">
        <f>446.3+89.4</f>
        <v>535.70000000000005</v>
      </c>
      <c r="G127" s="42"/>
      <c r="H127" s="42"/>
      <c r="I127" s="42"/>
      <c r="J127" s="42"/>
      <c r="K127" s="42"/>
      <c r="L127" s="42"/>
      <c r="M127" s="42"/>
      <c r="N127" s="42"/>
      <c r="O127" s="42">
        <f t="shared" si="15"/>
        <v>560.5</v>
      </c>
    </row>
    <row r="128" spans="1:15" ht="31.2">
      <c r="A128" s="40" t="s">
        <v>282</v>
      </c>
      <c r="B128" s="40" t="s">
        <v>283</v>
      </c>
      <c r="C128" s="40"/>
      <c r="D128" s="82" t="s">
        <v>284</v>
      </c>
      <c r="E128" s="42">
        <f>E129</f>
        <v>33.6</v>
      </c>
      <c r="F128" s="42"/>
      <c r="G128" s="42"/>
      <c r="H128" s="42"/>
      <c r="I128" s="42"/>
      <c r="J128" s="42"/>
      <c r="K128" s="42"/>
      <c r="L128" s="42"/>
      <c r="M128" s="42"/>
      <c r="N128" s="42"/>
      <c r="O128" s="42">
        <f>O129</f>
        <v>33.6</v>
      </c>
    </row>
    <row r="129" spans="1:15" s="95" customFormat="1" ht="31.2">
      <c r="A129" s="46" t="s">
        <v>285</v>
      </c>
      <c r="B129" s="46" t="s">
        <v>286</v>
      </c>
      <c r="C129" s="46" t="s">
        <v>131</v>
      </c>
      <c r="D129" s="47" t="s">
        <v>385</v>
      </c>
      <c r="E129" s="51">
        <v>33.6</v>
      </c>
      <c r="F129" s="51"/>
      <c r="G129" s="51"/>
      <c r="H129" s="51"/>
      <c r="I129" s="51"/>
      <c r="J129" s="51"/>
      <c r="K129" s="51"/>
      <c r="L129" s="51"/>
      <c r="M129" s="51"/>
      <c r="N129" s="51"/>
      <c r="O129" s="51">
        <f t="shared" si="15"/>
        <v>33.6</v>
      </c>
    </row>
    <row r="130" spans="1:15" ht="78">
      <c r="A130" s="40" t="s">
        <v>287</v>
      </c>
      <c r="B130" s="40" t="s">
        <v>129</v>
      </c>
      <c r="C130" s="40" t="s">
        <v>131</v>
      </c>
      <c r="D130" s="82" t="s">
        <v>132</v>
      </c>
      <c r="E130" s="42">
        <v>150</v>
      </c>
      <c r="F130" s="42"/>
      <c r="G130" s="42"/>
      <c r="H130" s="42"/>
      <c r="I130" s="42"/>
      <c r="J130" s="42"/>
      <c r="K130" s="42"/>
      <c r="L130" s="42"/>
      <c r="M130" s="42"/>
      <c r="N130" s="42"/>
      <c r="O130" s="42">
        <f t="shared" si="15"/>
        <v>150</v>
      </c>
    </row>
    <row r="131" spans="1:15" s="94" customFormat="1" ht="27.6">
      <c r="A131" s="29" t="s">
        <v>288</v>
      </c>
      <c r="B131" s="29"/>
      <c r="C131" s="29"/>
      <c r="D131" s="92" t="s">
        <v>31</v>
      </c>
      <c r="E131" s="50">
        <f>E132</f>
        <v>21393.1</v>
      </c>
      <c r="F131" s="50">
        <f t="shared" ref="F131:O131" si="18">F132</f>
        <v>17732.099999999999</v>
      </c>
      <c r="G131" s="50">
        <f t="shared" si="18"/>
        <v>1340.6</v>
      </c>
      <c r="H131" s="50">
        <f t="shared" si="18"/>
        <v>3672.5</v>
      </c>
      <c r="I131" s="50">
        <f t="shared" si="18"/>
        <v>788.5</v>
      </c>
      <c r="J131" s="50">
        <f t="shared" si="18"/>
        <v>426.40000000000003</v>
      </c>
      <c r="K131" s="50">
        <f t="shared" si="18"/>
        <v>0</v>
      </c>
      <c r="L131" s="50">
        <f t="shared" si="18"/>
        <v>2884</v>
      </c>
      <c r="M131" s="50">
        <f t="shared" si="18"/>
        <v>2884</v>
      </c>
      <c r="N131" s="50">
        <f t="shared" si="18"/>
        <v>2884</v>
      </c>
      <c r="O131" s="50">
        <f t="shared" si="18"/>
        <v>25065.599999999999</v>
      </c>
    </row>
    <row r="132" spans="1:15" ht="27.6">
      <c r="A132" s="40" t="s">
        <v>289</v>
      </c>
      <c r="B132" s="40"/>
      <c r="C132" s="40"/>
      <c r="D132" s="92" t="s">
        <v>31</v>
      </c>
      <c r="E132" s="50">
        <f>E133+E134+E135+E136+E137+E138</f>
        <v>21393.1</v>
      </c>
      <c r="F132" s="50">
        <f>F133+F134+F135+F136+F137+F138</f>
        <v>17732.099999999999</v>
      </c>
      <c r="G132" s="50">
        <f>G133+G134+G135+G136+G137+G138</f>
        <v>1340.6</v>
      </c>
      <c r="H132" s="50">
        <f>I132+L132</f>
        <v>3672.5</v>
      </c>
      <c r="I132" s="50">
        <f>I133+I134+I135+I136+I137+I138</f>
        <v>788.5</v>
      </c>
      <c r="J132" s="50">
        <f>J133+J134+J135+J136+J137+J138</f>
        <v>426.40000000000003</v>
      </c>
      <c r="K132" s="50"/>
      <c r="L132" s="50">
        <f>L133+L134+L135+L136+L137+L138</f>
        <v>2884</v>
      </c>
      <c r="M132" s="50">
        <f>M133+M134+M135+M136+M137+M138</f>
        <v>2884</v>
      </c>
      <c r="N132" s="50">
        <f>N133+N134+N135+N136+N137+N138</f>
        <v>2884</v>
      </c>
      <c r="O132" s="50">
        <f t="shared" si="15"/>
        <v>25065.599999999999</v>
      </c>
    </row>
    <row r="133" spans="1:15" ht="41.4">
      <c r="A133" s="40" t="s">
        <v>290</v>
      </c>
      <c r="B133" s="40" t="s">
        <v>92</v>
      </c>
      <c r="C133" s="40" t="s">
        <v>59</v>
      </c>
      <c r="D133" s="49" t="s">
        <v>94</v>
      </c>
      <c r="E133" s="42">
        <f>227.8+51.7</f>
        <v>279.5</v>
      </c>
      <c r="F133" s="42">
        <f>221.8+51.7</f>
        <v>273.5</v>
      </c>
      <c r="G133" s="42"/>
      <c r="H133" s="42"/>
      <c r="I133" s="42"/>
      <c r="J133" s="42"/>
      <c r="K133" s="42"/>
      <c r="L133" s="42"/>
      <c r="M133" s="42"/>
      <c r="N133" s="42"/>
      <c r="O133" s="42">
        <f t="shared" si="15"/>
        <v>279.5</v>
      </c>
    </row>
    <row r="134" spans="1:15">
      <c r="A134" s="40" t="s">
        <v>291</v>
      </c>
      <c r="B134" s="40" t="s">
        <v>292</v>
      </c>
      <c r="C134" s="40" t="s">
        <v>295</v>
      </c>
      <c r="D134" s="97" t="s">
        <v>19</v>
      </c>
      <c r="E134" s="98">
        <f>4088-80.2</f>
        <v>4007.8</v>
      </c>
      <c r="F134" s="98">
        <f>3358.3-80.2</f>
        <v>3278.1000000000004</v>
      </c>
      <c r="G134" s="98">
        <v>395.3</v>
      </c>
      <c r="H134" s="98">
        <f>L134+I134</f>
        <v>128.5</v>
      </c>
      <c r="I134" s="98">
        <v>28.5</v>
      </c>
      <c r="J134" s="98"/>
      <c r="K134" s="98"/>
      <c r="L134" s="98">
        <f>100</f>
        <v>100</v>
      </c>
      <c r="M134" s="98">
        <f>100</f>
        <v>100</v>
      </c>
      <c r="N134" s="98">
        <f>100</f>
        <v>100</v>
      </c>
      <c r="O134" s="98">
        <f t="shared" si="15"/>
        <v>4136.3</v>
      </c>
    </row>
    <row r="135" spans="1:15">
      <c r="A135" s="40" t="s">
        <v>293</v>
      </c>
      <c r="B135" s="40" t="s">
        <v>294</v>
      </c>
      <c r="C135" s="40" t="s">
        <v>295</v>
      </c>
      <c r="D135" s="97" t="s">
        <v>20</v>
      </c>
      <c r="E135" s="98">
        <f>1222+91.2</f>
        <v>1313.2</v>
      </c>
      <c r="F135" s="98">
        <f>946.9+91.2</f>
        <v>1038.0999999999999</v>
      </c>
      <c r="G135" s="98">
        <v>157.9</v>
      </c>
      <c r="H135" s="98">
        <f>I135+L135</f>
        <v>757</v>
      </c>
      <c r="I135" s="98">
        <v>27</v>
      </c>
      <c r="J135" s="98"/>
      <c r="K135" s="98"/>
      <c r="L135" s="98">
        <f>730</f>
        <v>730</v>
      </c>
      <c r="M135" s="98">
        <f>730</f>
        <v>730</v>
      </c>
      <c r="N135" s="98">
        <f>730</f>
        <v>730</v>
      </c>
      <c r="O135" s="98">
        <f t="shared" si="15"/>
        <v>2070.1999999999998</v>
      </c>
    </row>
    <row r="136" spans="1:15" ht="27.6">
      <c r="A136" s="40" t="s">
        <v>296</v>
      </c>
      <c r="B136" s="40" t="s">
        <v>297</v>
      </c>
      <c r="C136" s="40" t="s">
        <v>298</v>
      </c>
      <c r="D136" s="97" t="s">
        <v>21</v>
      </c>
      <c r="E136" s="98">
        <f>4528.7+408.5+12.7</f>
        <v>4949.8999999999996</v>
      </c>
      <c r="F136" s="98">
        <f>3229.9+408.5+162.7</f>
        <v>3801.1</v>
      </c>
      <c r="G136" s="98">
        <v>520.9</v>
      </c>
      <c r="H136" s="98">
        <f>I136+L136</f>
        <v>2161</v>
      </c>
      <c r="I136" s="98">
        <v>140</v>
      </c>
      <c r="J136" s="98">
        <v>39</v>
      </c>
      <c r="K136" s="98"/>
      <c r="L136" s="98">
        <f>1871+150</f>
        <v>2021</v>
      </c>
      <c r="M136" s="98">
        <f>1871+150</f>
        <v>2021</v>
      </c>
      <c r="N136" s="98">
        <f>1871+150</f>
        <v>2021</v>
      </c>
      <c r="O136" s="98">
        <f t="shared" si="15"/>
        <v>7110.9</v>
      </c>
    </row>
    <row r="137" spans="1:15">
      <c r="A137" s="40" t="s">
        <v>299</v>
      </c>
      <c r="B137" s="40" t="s">
        <v>300</v>
      </c>
      <c r="C137" s="40" t="s">
        <v>108</v>
      </c>
      <c r="D137" s="97" t="s">
        <v>22</v>
      </c>
      <c r="E137" s="98">
        <f>7580.8+901.2+637.8</f>
        <v>9119.7999999999993</v>
      </c>
      <c r="F137" s="98">
        <f>7021.8+901.2+697.8</f>
        <v>8620.7999999999993</v>
      </c>
      <c r="G137" s="98">
        <v>245.6</v>
      </c>
      <c r="H137" s="98">
        <f>I137+L137</f>
        <v>626</v>
      </c>
      <c r="I137" s="98">
        <v>593</v>
      </c>
      <c r="J137" s="98">
        <f>586.1-198.7</f>
        <v>387.40000000000003</v>
      </c>
      <c r="K137" s="98"/>
      <c r="L137" s="98">
        <f>33</f>
        <v>33</v>
      </c>
      <c r="M137" s="98">
        <f>33</f>
        <v>33</v>
      </c>
      <c r="N137" s="98">
        <f>33</f>
        <v>33</v>
      </c>
      <c r="O137" s="98">
        <f t="shared" si="15"/>
        <v>9745.7999999999993</v>
      </c>
    </row>
    <row r="138" spans="1:15">
      <c r="A138" s="40" t="s">
        <v>301</v>
      </c>
      <c r="B138" s="40" t="s">
        <v>302</v>
      </c>
      <c r="C138" s="40" t="s">
        <v>303</v>
      </c>
      <c r="D138" s="97" t="s">
        <v>23</v>
      </c>
      <c r="E138" s="98">
        <f>774.9+880+68</f>
        <v>1722.9</v>
      </c>
      <c r="F138" s="98">
        <v>720.5</v>
      </c>
      <c r="G138" s="98">
        <v>20.9</v>
      </c>
      <c r="H138" s="98">
        <f>L138+I138</f>
        <v>0</v>
      </c>
      <c r="I138" s="98"/>
      <c r="J138" s="98"/>
      <c r="K138" s="98"/>
      <c r="L138" s="98"/>
      <c r="M138" s="98"/>
      <c r="N138" s="98"/>
      <c r="O138" s="98">
        <f t="shared" si="15"/>
        <v>1722.9</v>
      </c>
    </row>
    <row r="139" spans="1:15" s="94" customFormat="1" ht="41.4">
      <c r="A139" s="29" t="s">
        <v>304</v>
      </c>
      <c r="B139" s="29"/>
      <c r="C139" s="29"/>
      <c r="D139" s="92" t="s">
        <v>40</v>
      </c>
      <c r="E139" s="102">
        <f>E140</f>
        <v>59486.9</v>
      </c>
      <c r="F139" s="102">
        <f t="shared" ref="F139:N139" si="19">F140</f>
        <v>788.1</v>
      </c>
      <c r="G139" s="102">
        <f t="shared" si="19"/>
        <v>0</v>
      </c>
      <c r="H139" s="102">
        <f t="shared" si="19"/>
        <v>55236.2</v>
      </c>
      <c r="I139" s="102">
        <f t="shared" si="19"/>
        <v>5</v>
      </c>
      <c r="J139" s="102">
        <f t="shared" si="19"/>
        <v>0</v>
      </c>
      <c r="K139" s="102">
        <f t="shared" si="19"/>
        <v>0</v>
      </c>
      <c r="L139" s="102">
        <f t="shared" si="19"/>
        <v>55231.199999999997</v>
      </c>
      <c r="M139" s="102">
        <f t="shared" si="19"/>
        <v>54676.2</v>
      </c>
      <c r="N139" s="102">
        <f t="shared" si="19"/>
        <v>51676.2</v>
      </c>
      <c r="O139" s="112">
        <f t="shared" si="15"/>
        <v>114723.1</v>
      </c>
    </row>
    <row r="140" spans="1:15" ht="41.4">
      <c r="A140" s="29" t="s">
        <v>305</v>
      </c>
      <c r="B140" s="40"/>
      <c r="C140" s="40"/>
      <c r="D140" s="92" t="s">
        <v>40</v>
      </c>
      <c r="E140" s="50">
        <f t="shared" ref="E140:N140" si="20">E141+E142+E143+E146+E147+E150+E151+E152+E153+E156+E161+E162+E163+E154+E155</f>
        <v>59486.9</v>
      </c>
      <c r="F140" s="50">
        <f t="shared" si="20"/>
        <v>788.1</v>
      </c>
      <c r="G140" s="50">
        <f t="shared" si="20"/>
        <v>0</v>
      </c>
      <c r="H140" s="50">
        <f t="shared" si="20"/>
        <v>55236.2</v>
      </c>
      <c r="I140" s="50">
        <f t="shared" si="20"/>
        <v>5</v>
      </c>
      <c r="J140" s="50">
        <f t="shared" si="20"/>
        <v>0</v>
      </c>
      <c r="K140" s="50">
        <f t="shared" si="20"/>
        <v>0</v>
      </c>
      <c r="L140" s="50">
        <f t="shared" si="20"/>
        <v>55231.199999999997</v>
      </c>
      <c r="M140" s="50">
        <f t="shared" si="20"/>
        <v>54676.2</v>
      </c>
      <c r="N140" s="50">
        <f t="shared" si="20"/>
        <v>51676.2</v>
      </c>
      <c r="O140" s="112">
        <f>E140+H140</f>
        <v>114723.1</v>
      </c>
    </row>
    <row r="141" spans="1:15" ht="41.4">
      <c r="A141" s="40" t="s">
        <v>306</v>
      </c>
      <c r="B141" s="40" t="s">
        <v>92</v>
      </c>
      <c r="C141" s="40" t="s">
        <v>59</v>
      </c>
      <c r="D141" s="49" t="s">
        <v>94</v>
      </c>
      <c r="E141" s="42">
        <f>747.6+161</f>
        <v>908.6</v>
      </c>
      <c r="F141" s="42">
        <f>627.1+161</f>
        <v>788.1</v>
      </c>
      <c r="G141" s="42"/>
      <c r="H141" s="42">
        <f>I141+L141</f>
        <v>10</v>
      </c>
      <c r="I141" s="42"/>
      <c r="J141" s="42"/>
      <c r="K141" s="42"/>
      <c r="L141" s="42">
        <f>10</f>
        <v>10</v>
      </c>
      <c r="M141" s="42">
        <f>10</f>
        <v>10</v>
      </c>
      <c r="N141" s="42">
        <f>10</f>
        <v>10</v>
      </c>
      <c r="O141" s="42">
        <f>E141+H141</f>
        <v>918.6</v>
      </c>
    </row>
    <row r="142" spans="1:15" ht="46.8">
      <c r="A142" s="40" t="s">
        <v>307</v>
      </c>
      <c r="B142" s="40" t="s">
        <v>308</v>
      </c>
      <c r="C142" s="40" t="s">
        <v>309</v>
      </c>
      <c r="D142" s="82" t="s">
        <v>310</v>
      </c>
      <c r="E142" s="98">
        <f>500</f>
        <v>500</v>
      </c>
      <c r="F142" s="42"/>
      <c r="G142" s="42"/>
      <c r="H142" s="42">
        <f>I142+L142</f>
        <v>0</v>
      </c>
      <c r="I142" s="42"/>
      <c r="J142" s="42"/>
      <c r="K142" s="42"/>
      <c r="L142" s="42"/>
      <c r="M142" s="42"/>
      <c r="N142" s="42"/>
      <c r="O142" s="42">
        <f>E142+H142</f>
        <v>500</v>
      </c>
    </row>
    <row r="143" spans="1:15" ht="31.2">
      <c r="A143" s="40" t="s">
        <v>311</v>
      </c>
      <c r="B143" s="40" t="s">
        <v>312</v>
      </c>
      <c r="C143" s="40"/>
      <c r="D143" s="45" t="s">
        <v>313</v>
      </c>
      <c r="E143" s="98"/>
      <c r="F143" s="42"/>
      <c r="G143" s="42"/>
      <c r="H143" s="42">
        <f>H144+H145</f>
        <v>21012.799999999999</v>
      </c>
      <c r="I143" s="42"/>
      <c r="J143" s="42"/>
      <c r="K143" s="42"/>
      <c r="L143" s="42">
        <f>L144+L145</f>
        <v>21012.799999999999</v>
      </c>
      <c r="M143" s="42">
        <f t="shared" ref="M143:N143" si="21">M144+M145</f>
        <v>21012.799999999999</v>
      </c>
      <c r="N143" s="42">
        <f t="shared" si="21"/>
        <v>19012.8</v>
      </c>
      <c r="O143" s="42">
        <f>E143+H143</f>
        <v>21012.799999999999</v>
      </c>
    </row>
    <row r="144" spans="1:15" s="95" customFormat="1">
      <c r="A144" s="46" t="s">
        <v>314</v>
      </c>
      <c r="B144" s="46" t="s">
        <v>315</v>
      </c>
      <c r="C144" s="46" t="s">
        <v>309</v>
      </c>
      <c r="D144" s="52" t="s">
        <v>390</v>
      </c>
      <c r="E144" s="51"/>
      <c r="F144" s="51"/>
      <c r="G144" s="51"/>
      <c r="H144" s="51">
        <f>I144+L144</f>
        <v>19012.8</v>
      </c>
      <c r="I144" s="51"/>
      <c r="J144" s="51"/>
      <c r="K144" s="51"/>
      <c r="L144" s="51">
        <f>4812.8+5000+9200</f>
        <v>19012.8</v>
      </c>
      <c r="M144" s="51">
        <f>4812.8+5000+9200</f>
        <v>19012.8</v>
      </c>
      <c r="N144" s="51">
        <f>2812.8+5000+9200</f>
        <v>17012.8</v>
      </c>
      <c r="O144" s="51">
        <f t="shared" ref="O144:O163" si="22">E144+H144</f>
        <v>19012.8</v>
      </c>
    </row>
    <row r="145" spans="1:16" s="95" customFormat="1" ht="27.6">
      <c r="A145" s="46" t="s">
        <v>446</v>
      </c>
      <c r="B145" s="46" t="s">
        <v>447</v>
      </c>
      <c r="C145" s="46" t="s">
        <v>309</v>
      </c>
      <c r="D145" s="52" t="s">
        <v>454</v>
      </c>
      <c r="E145" s="51"/>
      <c r="F145" s="51"/>
      <c r="G145" s="51"/>
      <c r="H145" s="51">
        <f>I145+L145</f>
        <v>2000</v>
      </c>
      <c r="I145" s="51"/>
      <c r="J145" s="51"/>
      <c r="K145" s="51"/>
      <c r="L145" s="51">
        <v>2000</v>
      </c>
      <c r="M145" s="51">
        <v>2000</v>
      </c>
      <c r="N145" s="51">
        <v>2000</v>
      </c>
      <c r="O145" s="51">
        <f t="shared" si="22"/>
        <v>2000</v>
      </c>
    </row>
    <row r="146" spans="1:16" ht="31.2">
      <c r="A146" s="40" t="s">
        <v>316</v>
      </c>
      <c r="B146" s="40" t="s">
        <v>317</v>
      </c>
      <c r="C146" s="40" t="s">
        <v>309</v>
      </c>
      <c r="D146" s="82" t="s">
        <v>382</v>
      </c>
      <c r="E146" s="42">
        <v>3000</v>
      </c>
      <c r="F146" s="42"/>
      <c r="G146" s="42"/>
      <c r="H146" s="51"/>
      <c r="I146" s="42"/>
      <c r="J146" s="42"/>
      <c r="K146" s="42"/>
      <c r="L146" s="42"/>
      <c r="M146" s="42"/>
      <c r="N146" s="42"/>
      <c r="O146" s="42">
        <f t="shared" si="22"/>
        <v>3000</v>
      </c>
    </row>
    <row r="147" spans="1:16" ht="31.2">
      <c r="A147" s="40" t="s">
        <v>318</v>
      </c>
      <c r="B147" s="40" t="s">
        <v>319</v>
      </c>
      <c r="C147" s="40"/>
      <c r="D147" s="45" t="s">
        <v>320</v>
      </c>
      <c r="E147" s="42">
        <f>E148+E149</f>
        <v>632</v>
      </c>
      <c r="F147" s="42"/>
      <c r="G147" s="42"/>
      <c r="H147" s="42">
        <f t="shared" ref="H147:N147" si="23">H148+H149</f>
        <v>6916.4</v>
      </c>
      <c r="I147" s="42"/>
      <c r="J147" s="42"/>
      <c r="K147" s="42"/>
      <c r="L147" s="42">
        <f t="shared" si="23"/>
        <v>6916.4</v>
      </c>
      <c r="M147" s="42">
        <f t="shared" si="23"/>
        <v>6916.4</v>
      </c>
      <c r="N147" s="42">
        <f t="shared" si="23"/>
        <v>6916.4</v>
      </c>
      <c r="O147" s="42">
        <f>O148+O149</f>
        <v>7548.4</v>
      </c>
    </row>
    <row r="148" spans="1:16" s="95" customFormat="1" ht="36.75" customHeight="1">
      <c r="A148" s="46" t="s">
        <v>321</v>
      </c>
      <c r="B148" s="46" t="s">
        <v>322</v>
      </c>
      <c r="C148" s="46" t="s">
        <v>88</v>
      </c>
      <c r="D148" s="47" t="s">
        <v>329</v>
      </c>
      <c r="E148" s="51"/>
      <c r="F148" s="51"/>
      <c r="G148" s="51"/>
      <c r="H148" s="51">
        <f>I148+L148</f>
        <v>3630</v>
      </c>
      <c r="I148" s="51"/>
      <c r="J148" s="51"/>
      <c r="K148" s="51"/>
      <c r="L148" s="51">
        <f>3130+500</f>
        <v>3630</v>
      </c>
      <c r="M148" s="51">
        <f>3130+500</f>
        <v>3630</v>
      </c>
      <c r="N148" s="51">
        <f>3130+500</f>
        <v>3630</v>
      </c>
      <c r="O148" s="51">
        <f t="shared" si="22"/>
        <v>3630</v>
      </c>
    </row>
    <row r="149" spans="1:16" s="95" customFormat="1" ht="31.2">
      <c r="A149" s="46" t="s">
        <v>323</v>
      </c>
      <c r="B149" s="46" t="s">
        <v>324</v>
      </c>
      <c r="C149" s="46" t="s">
        <v>88</v>
      </c>
      <c r="D149" s="108" t="s">
        <v>330</v>
      </c>
      <c r="E149" s="51">
        <v>632</v>
      </c>
      <c r="F149" s="51"/>
      <c r="G149" s="51"/>
      <c r="H149" s="51">
        <f>I149+L149</f>
        <v>3286.4</v>
      </c>
      <c r="I149" s="51"/>
      <c r="J149" s="51"/>
      <c r="K149" s="51"/>
      <c r="L149" s="51">
        <f>3286.4</f>
        <v>3286.4</v>
      </c>
      <c r="M149" s="51">
        <f>3286.4</f>
        <v>3286.4</v>
      </c>
      <c r="N149" s="51">
        <f>3286.4</f>
        <v>3286.4</v>
      </c>
      <c r="O149" s="51">
        <f t="shared" si="22"/>
        <v>3918.4</v>
      </c>
    </row>
    <row r="150" spans="1:16">
      <c r="A150" s="40" t="s">
        <v>325</v>
      </c>
      <c r="B150" s="40" t="s">
        <v>87</v>
      </c>
      <c r="C150" s="40" t="s">
        <v>88</v>
      </c>
      <c r="D150" s="80" t="s">
        <v>13</v>
      </c>
      <c r="E150" s="42">
        <f>41489.5+2000+2000+1086.8-5</f>
        <v>46571.3</v>
      </c>
      <c r="F150" s="42"/>
      <c r="G150" s="42"/>
      <c r="H150" s="42">
        <f>L150</f>
        <v>4387</v>
      </c>
      <c r="I150" s="42"/>
      <c r="J150" s="42"/>
      <c r="K150" s="42"/>
      <c r="L150" s="42">
        <f>1500+2831+56</f>
        <v>4387</v>
      </c>
      <c r="M150" s="42">
        <f>1500+2831+56</f>
        <v>4387</v>
      </c>
      <c r="N150" s="42">
        <f>1500+2831+56</f>
        <v>4387</v>
      </c>
      <c r="O150" s="42">
        <f t="shared" si="22"/>
        <v>50958.3</v>
      </c>
    </row>
    <row r="151" spans="1:16" ht="27.6">
      <c r="A151" s="40" t="s">
        <v>384</v>
      </c>
      <c r="B151" s="40" t="s">
        <v>134</v>
      </c>
      <c r="C151" s="40" t="s">
        <v>137</v>
      </c>
      <c r="D151" s="80" t="s">
        <v>138</v>
      </c>
      <c r="E151" s="42"/>
      <c r="F151" s="42"/>
      <c r="G151" s="42"/>
      <c r="H151" s="42">
        <v>500</v>
      </c>
      <c r="I151" s="42"/>
      <c r="J151" s="42"/>
      <c r="K151" s="42"/>
      <c r="L151" s="42">
        <v>500</v>
      </c>
      <c r="M151" s="42">
        <v>500</v>
      </c>
      <c r="N151" s="42">
        <v>500</v>
      </c>
      <c r="O151" s="42">
        <f t="shared" si="22"/>
        <v>500</v>
      </c>
    </row>
    <row r="152" spans="1:16" ht="15.6">
      <c r="A152" s="40" t="s">
        <v>326</v>
      </c>
      <c r="B152" s="40" t="s">
        <v>327</v>
      </c>
      <c r="C152" s="40" t="s">
        <v>328</v>
      </c>
      <c r="D152" s="106" t="s">
        <v>331</v>
      </c>
      <c r="E152" s="42">
        <f>4000-2000</f>
        <v>2000</v>
      </c>
      <c r="F152" s="42"/>
      <c r="G152" s="42"/>
      <c r="H152" s="42">
        <f>I152+L152</f>
        <v>17850</v>
      </c>
      <c r="I152" s="42"/>
      <c r="J152" s="42"/>
      <c r="K152" s="42"/>
      <c r="L152" s="42">
        <v>17850</v>
      </c>
      <c r="M152" s="42">
        <v>17850</v>
      </c>
      <c r="N152" s="42">
        <v>17850</v>
      </c>
      <c r="O152" s="42">
        <f t="shared" si="22"/>
        <v>19850</v>
      </c>
    </row>
    <row r="153" spans="1:16" ht="15.6">
      <c r="A153" s="40" t="s">
        <v>449</v>
      </c>
      <c r="B153" s="40" t="s">
        <v>450</v>
      </c>
      <c r="C153" s="40" t="s">
        <v>452</v>
      </c>
      <c r="D153" s="113" t="s">
        <v>455</v>
      </c>
      <c r="E153" s="42"/>
      <c r="F153" s="42"/>
      <c r="G153" s="42"/>
      <c r="H153" s="42">
        <f>I153+L153</f>
        <v>0</v>
      </c>
      <c r="I153" s="42"/>
      <c r="J153" s="42"/>
      <c r="K153" s="42"/>
      <c r="L153" s="42"/>
      <c r="M153" s="42"/>
      <c r="N153" s="42"/>
      <c r="O153" s="42">
        <f t="shared" si="22"/>
        <v>0</v>
      </c>
    </row>
    <row r="154" spans="1:16">
      <c r="A154" s="40" t="s">
        <v>406</v>
      </c>
      <c r="B154" s="40" t="s">
        <v>83</v>
      </c>
      <c r="C154" s="40" t="s">
        <v>84</v>
      </c>
      <c r="D154" s="41" t="s">
        <v>86</v>
      </c>
      <c r="E154" s="42"/>
      <c r="F154" s="42"/>
      <c r="G154" s="42"/>
      <c r="H154" s="42">
        <f>I154+L154</f>
        <v>1000</v>
      </c>
      <c r="I154" s="42"/>
      <c r="J154" s="42"/>
      <c r="K154" s="42"/>
      <c r="L154" s="42">
        <v>1000</v>
      </c>
      <c r="M154" s="42">
        <v>1000</v>
      </c>
      <c r="N154" s="42"/>
      <c r="O154" s="42">
        <f t="shared" si="22"/>
        <v>1000</v>
      </c>
    </row>
    <row r="155" spans="1:16" ht="41.4">
      <c r="A155" s="40" t="s">
        <v>440</v>
      </c>
      <c r="B155" s="40" t="s">
        <v>441</v>
      </c>
      <c r="C155" s="40" t="s">
        <v>137</v>
      </c>
      <c r="D155" s="41" t="s">
        <v>442</v>
      </c>
      <c r="E155" s="42"/>
      <c r="F155" s="42"/>
      <c r="G155" s="42"/>
      <c r="H155" s="42">
        <f>I155+L155</f>
        <v>3000</v>
      </c>
      <c r="I155" s="42"/>
      <c r="J155" s="42"/>
      <c r="K155" s="42"/>
      <c r="L155" s="42">
        <f>3000</f>
        <v>3000</v>
      </c>
      <c r="M155" s="42">
        <f>3000</f>
        <v>3000</v>
      </c>
      <c r="N155" s="42">
        <f>3000</f>
        <v>3000</v>
      </c>
      <c r="O155" s="42">
        <f t="shared" si="22"/>
        <v>3000</v>
      </c>
    </row>
    <row r="156" spans="1:16" ht="27.6">
      <c r="A156" s="40" t="s">
        <v>332</v>
      </c>
      <c r="B156" s="40" t="s">
        <v>74</v>
      </c>
      <c r="C156" s="40" t="s">
        <v>76</v>
      </c>
      <c r="D156" s="80" t="s">
        <v>24</v>
      </c>
      <c r="E156" s="42">
        <f>E158+E160+E159</f>
        <v>5855</v>
      </c>
      <c r="F156" s="42"/>
      <c r="G156" s="42"/>
      <c r="H156" s="42"/>
      <c r="I156" s="42"/>
      <c r="J156" s="42"/>
      <c r="K156" s="42"/>
      <c r="L156" s="42"/>
      <c r="M156" s="42"/>
      <c r="N156" s="42"/>
      <c r="O156" s="42">
        <f>E156+H156</f>
        <v>5855</v>
      </c>
    </row>
    <row r="157" spans="1:16">
      <c r="A157" s="40"/>
      <c r="B157" s="40"/>
      <c r="C157" s="40"/>
      <c r="D157" s="80" t="s">
        <v>16</v>
      </c>
      <c r="E157" s="42"/>
      <c r="F157" s="42"/>
      <c r="G157" s="42"/>
      <c r="H157" s="42"/>
      <c r="I157" s="42"/>
      <c r="J157" s="42"/>
      <c r="K157" s="42"/>
      <c r="L157" s="42"/>
      <c r="M157" s="42"/>
      <c r="N157" s="42"/>
      <c r="O157" s="42"/>
    </row>
    <row r="158" spans="1:16" ht="41.4">
      <c r="A158" s="40"/>
      <c r="B158" s="40"/>
      <c r="C158" s="40"/>
      <c r="D158" s="52" t="s">
        <v>47</v>
      </c>
      <c r="E158" s="51">
        <f>2000+850</f>
        <v>2850</v>
      </c>
      <c r="F158" s="51"/>
      <c r="G158" s="51"/>
      <c r="H158" s="42"/>
      <c r="I158" s="51"/>
      <c r="J158" s="51"/>
      <c r="K158" s="51"/>
      <c r="L158" s="51"/>
      <c r="M158" s="51"/>
      <c r="N158" s="51"/>
      <c r="O158" s="42">
        <f t="shared" si="22"/>
        <v>2850</v>
      </c>
      <c r="P158" s="114"/>
    </row>
    <row r="159" spans="1:16" ht="27.6">
      <c r="A159" s="40"/>
      <c r="B159" s="40"/>
      <c r="C159" s="40"/>
      <c r="D159" s="52" t="s">
        <v>48</v>
      </c>
      <c r="E159" s="51">
        <f>1000+2000</f>
        <v>3000</v>
      </c>
      <c r="F159" s="51"/>
      <c r="G159" s="51"/>
      <c r="H159" s="42"/>
      <c r="I159" s="51"/>
      <c r="J159" s="51"/>
      <c r="K159" s="51"/>
      <c r="L159" s="51"/>
      <c r="M159" s="51"/>
      <c r="N159" s="51"/>
      <c r="O159" s="42">
        <f>E159+H159</f>
        <v>3000</v>
      </c>
      <c r="P159" s="114"/>
    </row>
    <row r="160" spans="1:16" ht="27.6">
      <c r="A160" s="40"/>
      <c r="B160" s="40"/>
      <c r="C160" s="40"/>
      <c r="D160" s="52" t="s">
        <v>429</v>
      </c>
      <c r="E160" s="51">
        <v>5</v>
      </c>
      <c r="F160" s="51"/>
      <c r="G160" s="51"/>
      <c r="H160" s="42"/>
      <c r="I160" s="51"/>
      <c r="J160" s="51"/>
      <c r="K160" s="51"/>
      <c r="L160" s="51"/>
      <c r="M160" s="51"/>
      <c r="N160" s="51"/>
      <c r="O160" s="42">
        <f>E160+H160</f>
        <v>5</v>
      </c>
      <c r="P160" s="114"/>
    </row>
    <row r="161" spans="1:16" ht="15.6">
      <c r="A161" s="40" t="s">
        <v>336</v>
      </c>
      <c r="B161" s="40" t="s">
        <v>80</v>
      </c>
      <c r="C161" s="40" t="s">
        <v>81</v>
      </c>
      <c r="D161" s="80" t="s">
        <v>12</v>
      </c>
      <c r="E161" s="42">
        <v>20</v>
      </c>
      <c r="F161" s="42"/>
      <c r="G161" s="42"/>
      <c r="H161" s="42">
        <f>I161+L161</f>
        <v>0</v>
      </c>
      <c r="I161" s="42"/>
      <c r="J161" s="42"/>
      <c r="K161" s="42"/>
      <c r="L161" s="42"/>
      <c r="M161" s="42"/>
      <c r="N161" s="42"/>
      <c r="O161" s="42">
        <f>E161+H161</f>
        <v>20</v>
      </c>
      <c r="P161" s="114"/>
    </row>
    <row r="162" spans="1:16" ht="27.6">
      <c r="A162" s="40" t="s">
        <v>333</v>
      </c>
      <c r="B162" s="40" t="s">
        <v>334</v>
      </c>
      <c r="C162" s="40" t="s">
        <v>335</v>
      </c>
      <c r="D162" s="80" t="s">
        <v>25</v>
      </c>
      <c r="E162" s="42"/>
      <c r="F162" s="42"/>
      <c r="G162" s="42"/>
      <c r="H162" s="42">
        <f>I162+L162</f>
        <v>555</v>
      </c>
      <c r="I162" s="42"/>
      <c r="J162" s="42"/>
      <c r="K162" s="42"/>
      <c r="L162" s="42">
        <f>515+200-160</f>
        <v>555</v>
      </c>
      <c r="M162" s="42"/>
      <c r="N162" s="42"/>
      <c r="O162" s="42">
        <f t="shared" si="22"/>
        <v>555</v>
      </c>
    </row>
    <row r="163" spans="1:16" ht="62.4">
      <c r="A163" s="40" t="s">
        <v>337</v>
      </c>
      <c r="B163" s="40" t="s">
        <v>338</v>
      </c>
      <c r="C163" s="40" t="s">
        <v>81</v>
      </c>
      <c r="D163" s="82" t="s">
        <v>339</v>
      </c>
      <c r="E163" s="42"/>
      <c r="F163" s="42"/>
      <c r="G163" s="42"/>
      <c r="H163" s="42">
        <f>I163+L163</f>
        <v>5</v>
      </c>
      <c r="I163" s="42">
        <v>5</v>
      </c>
      <c r="J163" s="42"/>
      <c r="K163" s="42"/>
      <c r="L163" s="42"/>
      <c r="M163" s="42"/>
      <c r="N163" s="42"/>
      <c r="O163" s="42">
        <f t="shared" si="22"/>
        <v>5</v>
      </c>
    </row>
    <row r="164" spans="1:16" s="94" customFormat="1" ht="41.4">
      <c r="A164" s="29" t="s">
        <v>340</v>
      </c>
      <c r="B164" s="29"/>
      <c r="C164" s="29"/>
      <c r="D164" s="92" t="s">
        <v>41</v>
      </c>
      <c r="E164" s="50">
        <f>E165</f>
        <v>1849.58212</v>
      </c>
      <c r="F164" s="50">
        <f t="shared" ref="F164:O164" si="24">F165</f>
        <v>1062.9000000000001</v>
      </c>
      <c r="G164" s="50"/>
      <c r="H164" s="50">
        <f t="shared" si="24"/>
        <v>2044.8178800000001</v>
      </c>
      <c r="I164" s="50"/>
      <c r="J164" s="50"/>
      <c r="K164" s="50"/>
      <c r="L164" s="50">
        <f t="shared" si="24"/>
        <v>1734.2</v>
      </c>
      <c r="M164" s="50">
        <f t="shared" si="24"/>
        <v>1734.2</v>
      </c>
      <c r="N164" s="50">
        <f t="shared" si="24"/>
        <v>1734.2</v>
      </c>
      <c r="O164" s="50">
        <f t="shared" si="24"/>
        <v>3894.4</v>
      </c>
    </row>
    <row r="165" spans="1:16" ht="41.4">
      <c r="A165" s="29" t="s">
        <v>341</v>
      </c>
      <c r="B165" s="40"/>
      <c r="C165" s="40"/>
      <c r="D165" s="92" t="s">
        <v>41</v>
      </c>
      <c r="E165" s="50">
        <f>E166+E167+E168+E169+E170</f>
        <v>1849.58212</v>
      </c>
      <c r="F165" s="50">
        <f t="shared" ref="F165:N165" si="25">F166+F167+F168+F169+F170</f>
        <v>1062.9000000000001</v>
      </c>
      <c r="G165" s="50">
        <f t="shared" si="25"/>
        <v>0</v>
      </c>
      <c r="H165" s="50">
        <f t="shared" si="25"/>
        <v>2044.8178800000001</v>
      </c>
      <c r="I165" s="50">
        <f t="shared" si="25"/>
        <v>310.61788000000001</v>
      </c>
      <c r="J165" s="50">
        <f t="shared" si="25"/>
        <v>0</v>
      </c>
      <c r="K165" s="50">
        <f t="shared" si="25"/>
        <v>0</v>
      </c>
      <c r="L165" s="50">
        <f t="shared" si="25"/>
        <v>1734.2</v>
      </c>
      <c r="M165" s="50">
        <f t="shared" si="25"/>
        <v>1734.2</v>
      </c>
      <c r="N165" s="50">
        <f t="shared" si="25"/>
        <v>1734.2</v>
      </c>
      <c r="O165" s="50">
        <f t="shared" ref="O165:O198" si="26">E165+H165</f>
        <v>3894.4</v>
      </c>
    </row>
    <row r="166" spans="1:16" ht="41.4">
      <c r="A166" s="40" t="s">
        <v>342</v>
      </c>
      <c r="B166" s="40" t="s">
        <v>92</v>
      </c>
      <c r="C166" s="40" t="s">
        <v>59</v>
      </c>
      <c r="D166" s="49" t="s">
        <v>94</v>
      </c>
      <c r="E166" s="42">
        <f>900.4+192.5</f>
        <v>1092.9000000000001</v>
      </c>
      <c r="F166" s="42">
        <f>870.4+192.5</f>
        <v>1062.9000000000001</v>
      </c>
      <c r="G166" s="42"/>
      <c r="H166" s="42">
        <f>L166</f>
        <v>20</v>
      </c>
      <c r="I166" s="42"/>
      <c r="J166" s="42"/>
      <c r="K166" s="42"/>
      <c r="L166" s="42">
        <f>20</f>
        <v>20</v>
      </c>
      <c r="M166" s="42">
        <f>20</f>
        <v>20</v>
      </c>
      <c r="N166" s="42">
        <f>20</f>
        <v>20</v>
      </c>
      <c r="O166" s="42">
        <f t="shared" si="26"/>
        <v>1112.9000000000001</v>
      </c>
    </row>
    <row r="167" spans="1:16" ht="31.2">
      <c r="A167" s="40" t="s">
        <v>343</v>
      </c>
      <c r="B167" s="40" t="s">
        <v>134</v>
      </c>
      <c r="C167" s="40" t="s">
        <v>137</v>
      </c>
      <c r="D167" s="82" t="s">
        <v>138</v>
      </c>
      <c r="E167" s="42"/>
      <c r="F167" s="42"/>
      <c r="G167" s="42"/>
      <c r="H167" s="42">
        <f>L167</f>
        <v>1714.2</v>
      </c>
      <c r="I167" s="42"/>
      <c r="J167" s="42"/>
      <c r="K167" s="42"/>
      <c r="L167" s="42">
        <f>1714.2</f>
        <v>1714.2</v>
      </c>
      <c r="M167" s="42">
        <f>1714.2</f>
        <v>1714.2</v>
      </c>
      <c r="N167" s="42">
        <f>1714.2</f>
        <v>1714.2</v>
      </c>
      <c r="O167" s="42">
        <f t="shared" si="26"/>
        <v>1714.2</v>
      </c>
    </row>
    <row r="168" spans="1:16" ht="31.2">
      <c r="A168" s="40" t="s">
        <v>344</v>
      </c>
      <c r="B168" s="40" t="s">
        <v>74</v>
      </c>
      <c r="C168" s="40" t="s">
        <v>76</v>
      </c>
      <c r="D168" s="107" t="s">
        <v>345</v>
      </c>
      <c r="E168" s="42"/>
      <c r="F168" s="42"/>
      <c r="G168" s="42"/>
      <c r="H168" s="42">
        <f>L168</f>
        <v>0</v>
      </c>
      <c r="I168" s="42"/>
      <c r="J168" s="42"/>
      <c r="K168" s="42"/>
      <c r="L168" s="42"/>
      <c r="M168" s="42"/>
      <c r="N168" s="42"/>
      <c r="O168" s="42">
        <f t="shared" si="26"/>
        <v>0</v>
      </c>
    </row>
    <row r="169" spans="1:16" ht="15.6">
      <c r="A169" s="40" t="s">
        <v>432</v>
      </c>
      <c r="B169" s="40" t="s">
        <v>430</v>
      </c>
      <c r="C169" s="40" t="s">
        <v>352</v>
      </c>
      <c r="D169" s="107" t="s">
        <v>431</v>
      </c>
      <c r="E169" s="42">
        <f>389.38212</f>
        <v>389.38211999999999</v>
      </c>
      <c r="F169" s="42"/>
      <c r="G169" s="42"/>
      <c r="H169" s="42">
        <f>I169</f>
        <v>310.61788000000001</v>
      </c>
      <c r="I169" s="42">
        <f>310.61788</f>
        <v>310.61788000000001</v>
      </c>
      <c r="J169" s="42"/>
      <c r="K169" s="42"/>
      <c r="L169" s="42"/>
      <c r="M169" s="42"/>
      <c r="N169" s="42"/>
      <c r="O169" s="42">
        <f t="shared" si="26"/>
        <v>700</v>
      </c>
    </row>
    <row r="170" spans="1:16">
      <c r="A170" s="40" t="s">
        <v>346</v>
      </c>
      <c r="B170" s="40" t="s">
        <v>80</v>
      </c>
      <c r="C170" s="40" t="s">
        <v>81</v>
      </c>
      <c r="D170" s="80" t="s">
        <v>12</v>
      </c>
      <c r="E170" s="42">
        <v>367.3</v>
      </c>
      <c r="F170" s="42"/>
      <c r="G170" s="42"/>
      <c r="H170" s="42"/>
      <c r="I170" s="42"/>
      <c r="J170" s="42"/>
      <c r="K170" s="42"/>
      <c r="L170" s="42"/>
      <c r="M170" s="42"/>
      <c r="N170" s="42"/>
      <c r="O170" s="42">
        <f t="shared" si="26"/>
        <v>367.3</v>
      </c>
    </row>
    <row r="171" spans="1:16" s="94" customFormat="1" ht="27.6">
      <c r="A171" s="29" t="s">
        <v>347</v>
      </c>
      <c r="B171" s="29"/>
      <c r="C171" s="29"/>
      <c r="D171" s="92" t="s">
        <v>46</v>
      </c>
      <c r="E171" s="50">
        <f>E172</f>
        <v>953.9</v>
      </c>
      <c r="F171" s="50">
        <f t="shared" ref="F171:O171" si="27">F172</f>
        <v>908.1</v>
      </c>
      <c r="G171" s="50">
        <f t="shared" si="27"/>
        <v>0</v>
      </c>
      <c r="H171" s="50">
        <f t="shared" si="27"/>
        <v>83585</v>
      </c>
      <c r="I171" s="50">
        <f t="shared" si="27"/>
        <v>0</v>
      </c>
      <c r="J171" s="50">
        <f t="shared" si="27"/>
        <v>0</v>
      </c>
      <c r="K171" s="50">
        <f t="shared" si="27"/>
        <v>0</v>
      </c>
      <c r="L171" s="50">
        <f t="shared" si="27"/>
        <v>83585</v>
      </c>
      <c r="M171" s="50">
        <f t="shared" si="27"/>
        <v>83585</v>
      </c>
      <c r="N171" s="50">
        <f t="shared" si="27"/>
        <v>79275</v>
      </c>
      <c r="O171" s="50">
        <f t="shared" si="27"/>
        <v>84538.9</v>
      </c>
    </row>
    <row r="172" spans="1:16" ht="27.6">
      <c r="A172" s="29" t="s">
        <v>348</v>
      </c>
      <c r="B172" s="40"/>
      <c r="C172" s="40"/>
      <c r="D172" s="92" t="s">
        <v>46</v>
      </c>
      <c r="E172" s="50">
        <f>E173+E174+E175+E178</f>
        <v>953.9</v>
      </c>
      <c r="F172" s="50">
        <f>F173+F174+F175</f>
        <v>908.1</v>
      </c>
      <c r="G172" s="50"/>
      <c r="H172" s="50">
        <f>I172+L172</f>
        <v>83585</v>
      </c>
      <c r="I172" s="50">
        <f>I173+I174+I175+I179</f>
        <v>0</v>
      </c>
      <c r="J172" s="50"/>
      <c r="K172" s="50"/>
      <c r="L172" s="50">
        <f>L173+L174+L175+L177+L180</f>
        <v>83585</v>
      </c>
      <c r="M172" s="50">
        <f>M173+M174+M175+M177</f>
        <v>83585</v>
      </c>
      <c r="N172" s="50">
        <f>N173+N174+N175+N177</f>
        <v>79275</v>
      </c>
      <c r="O172" s="50">
        <f t="shared" si="26"/>
        <v>84538.9</v>
      </c>
    </row>
    <row r="173" spans="1:16" ht="41.4">
      <c r="A173" s="40" t="s">
        <v>349</v>
      </c>
      <c r="B173" s="40" t="s">
        <v>92</v>
      </c>
      <c r="C173" s="40" t="s">
        <v>59</v>
      </c>
      <c r="D173" s="49" t="s">
        <v>94</v>
      </c>
      <c r="E173" s="42">
        <f>867+86.9</f>
        <v>953.9</v>
      </c>
      <c r="F173" s="42">
        <f>821.2+86.9</f>
        <v>908.1</v>
      </c>
      <c r="G173" s="42"/>
      <c r="H173" s="42">
        <f>I173+L173</f>
        <v>10</v>
      </c>
      <c r="I173" s="42"/>
      <c r="J173" s="42"/>
      <c r="K173" s="42"/>
      <c r="L173" s="42">
        <f>10</f>
        <v>10</v>
      </c>
      <c r="M173" s="42">
        <f>10</f>
        <v>10</v>
      </c>
      <c r="N173" s="42">
        <f>10</f>
        <v>10</v>
      </c>
      <c r="O173" s="42">
        <f t="shared" si="26"/>
        <v>963.9</v>
      </c>
    </row>
    <row r="174" spans="1:16" ht="31.2">
      <c r="A174" s="40" t="s">
        <v>350</v>
      </c>
      <c r="B174" s="40" t="s">
        <v>351</v>
      </c>
      <c r="C174" s="40" t="s">
        <v>352</v>
      </c>
      <c r="D174" s="45" t="s">
        <v>353</v>
      </c>
      <c r="E174" s="42"/>
      <c r="F174" s="42"/>
      <c r="G174" s="42"/>
      <c r="H174" s="42">
        <v>15000</v>
      </c>
      <c r="I174" s="42"/>
      <c r="J174" s="42"/>
      <c r="K174" s="42"/>
      <c r="L174" s="42">
        <v>15000</v>
      </c>
      <c r="M174" s="42">
        <v>15000</v>
      </c>
      <c r="N174" s="42">
        <v>15000</v>
      </c>
      <c r="O174" s="42">
        <f t="shared" si="26"/>
        <v>15000</v>
      </c>
    </row>
    <row r="175" spans="1:16" ht="31.2">
      <c r="A175" s="40" t="s">
        <v>354</v>
      </c>
      <c r="B175" s="40" t="s">
        <v>134</v>
      </c>
      <c r="C175" s="40" t="s">
        <v>137</v>
      </c>
      <c r="D175" s="45" t="s">
        <v>138</v>
      </c>
      <c r="E175" s="42"/>
      <c r="F175" s="42"/>
      <c r="G175" s="42"/>
      <c r="H175" s="42">
        <f>I175+L175</f>
        <v>68375</v>
      </c>
      <c r="I175" s="42"/>
      <c r="J175" s="42"/>
      <c r="K175" s="42"/>
      <c r="L175" s="42">
        <f>41870+22000+3000+100+1398+7</f>
        <v>68375</v>
      </c>
      <c r="M175" s="42">
        <f>41870+22000+3000+100+1398+7</f>
        <v>68375</v>
      </c>
      <c r="N175" s="42">
        <f>41870+22000+100+88+7</f>
        <v>64065</v>
      </c>
      <c r="O175" s="42">
        <f t="shared" si="26"/>
        <v>68375</v>
      </c>
    </row>
    <row r="176" spans="1:16" ht="31.2">
      <c r="A176" s="40" t="s">
        <v>356</v>
      </c>
      <c r="B176" s="40" t="s">
        <v>357</v>
      </c>
      <c r="C176" s="40"/>
      <c r="D176" s="45" t="s">
        <v>358</v>
      </c>
      <c r="E176" s="42"/>
      <c r="F176" s="42"/>
      <c r="G176" s="42"/>
      <c r="H176" s="42">
        <f>H177</f>
        <v>200</v>
      </c>
      <c r="I176" s="42"/>
      <c r="J176" s="42"/>
      <c r="K176" s="42"/>
      <c r="L176" s="42">
        <f>L177</f>
        <v>200</v>
      </c>
      <c r="M176" s="42">
        <f>M177</f>
        <v>200</v>
      </c>
      <c r="N176" s="42">
        <f>N177</f>
        <v>200</v>
      </c>
      <c r="O176" s="42">
        <f>O177</f>
        <v>200</v>
      </c>
    </row>
    <row r="177" spans="1:15" s="95" customFormat="1" ht="31.2">
      <c r="A177" s="46" t="s">
        <v>359</v>
      </c>
      <c r="B177" s="46" t="s">
        <v>355</v>
      </c>
      <c r="C177" s="46" t="s">
        <v>160</v>
      </c>
      <c r="D177" s="108" t="s">
        <v>386</v>
      </c>
      <c r="E177" s="51"/>
      <c r="F177" s="51"/>
      <c r="G177" s="51"/>
      <c r="H177" s="51">
        <f>I177+L177</f>
        <v>200</v>
      </c>
      <c r="I177" s="51"/>
      <c r="J177" s="51"/>
      <c r="K177" s="51"/>
      <c r="L177" s="51">
        <v>200</v>
      </c>
      <c r="M177" s="51">
        <v>200</v>
      </c>
      <c r="N177" s="51">
        <v>200</v>
      </c>
      <c r="O177" s="51">
        <f>E177+H177</f>
        <v>200</v>
      </c>
    </row>
    <row r="178" spans="1:15" ht="27.6">
      <c r="A178" s="40" t="s">
        <v>360</v>
      </c>
      <c r="B178" s="40" t="s">
        <v>361</v>
      </c>
      <c r="C178" s="40" t="s">
        <v>362</v>
      </c>
      <c r="D178" s="97" t="s">
        <v>29</v>
      </c>
      <c r="E178" s="42">
        <f>130-130</f>
        <v>0</v>
      </c>
      <c r="F178" s="42"/>
      <c r="G178" s="42"/>
      <c r="H178" s="42"/>
      <c r="I178" s="42"/>
      <c r="J178" s="42"/>
      <c r="K178" s="42"/>
      <c r="L178" s="42"/>
      <c r="M178" s="42"/>
      <c r="N178" s="42"/>
      <c r="O178" s="42">
        <f t="shared" si="26"/>
        <v>0</v>
      </c>
    </row>
    <row r="179" spans="1:15" ht="27.6">
      <c r="A179" s="40" t="s">
        <v>363</v>
      </c>
      <c r="B179" s="40" t="s">
        <v>334</v>
      </c>
      <c r="C179" s="40" t="s">
        <v>335</v>
      </c>
      <c r="D179" s="80" t="s">
        <v>25</v>
      </c>
      <c r="E179" s="42"/>
      <c r="F179" s="42"/>
      <c r="G179" s="42"/>
      <c r="H179" s="42">
        <f>I179</f>
        <v>0</v>
      </c>
      <c r="I179" s="42">
        <f>60+33.8-93.8</f>
        <v>0</v>
      </c>
      <c r="J179" s="42"/>
      <c r="K179" s="42"/>
      <c r="L179" s="42"/>
      <c r="M179" s="42"/>
      <c r="N179" s="42"/>
      <c r="O179" s="42">
        <f t="shared" si="26"/>
        <v>0</v>
      </c>
    </row>
    <row r="180" spans="1:15" ht="55.2">
      <c r="A180" s="40" t="s">
        <v>364</v>
      </c>
      <c r="B180" s="40" t="s">
        <v>338</v>
      </c>
      <c r="C180" s="40" t="s">
        <v>81</v>
      </c>
      <c r="D180" s="80" t="s">
        <v>26</v>
      </c>
      <c r="E180" s="42"/>
      <c r="F180" s="42"/>
      <c r="G180" s="42"/>
      <c r="H180" s="42">
        <f>L180</f>
        <v>0</v>
      </c>
      <c r="I180" s="42"/>
      <c r="J180" s="42"/>
      <c r="K180" s="42"/>
      <c r="L180" s="42"/>
      <c r="M180" s="42"/>
      <c r="N180" s="42"/>
      <c r="O180" s="42">
        <f>H180</f>
        <v>0</v>
      </c>
    </row>
    <row r="181" spans="1:15" s="94" customFormat="1" ht="27.6">
      <c r="A181" s="29" t="s">
        <v>365</v>
      </c>
      <c r="B181" s="29"/>
      <c r="C181" s="29"/>
      <c r="D181" s="92" t="s">
        <v>42</v>
      </c>
      <c r="E181" s="50">
        <f>E182</f>
        <v>1166.9000000000001</v>
      </c>
      <c r="F181" s="50">
        <f t="shared" ref="F181:O181" si="28">F182</f>
        <v>1129.5999999999999</v>
      </c>
      <c r="G181" s="50">
        <f t="shared" si="28"/>
        <v>0</v>
      </c>
      <c r="H181" s="50">
        <f t="shared" si="28"/>
        <v>10</v>
      </c>
      <c r="I181" s="50">
        <f t="shared" si="28"/>
        <v>0</v>
      </c>
      <c r="J181" s="50">
        <f t="shared" si="28"/>
        <v>0</v>
      </c>
      <c r="K181" s="50">
        <f t="shared" si="28"/>
        <v>0</v>
      </c>
      <c r="L181" s="50">
        <f t="shared" si="28"/>
        <v>10</v>
      </c>
      <c r="M181" s="50">
        <f t="shared" si="28"/>
        <v>10</v>
      </c>
      <c r="N181" s="50">
        <f t="shared" si="28"/>
        <v>10</v>
      </c>
      <c r="O181" s="50">
        <f t="shared" si="28"/>
        <v>1176.9000000000001</v>
      </c>
    </row>
    <row r="182" spans="1:15" ht="27.6">
      <c r="A182" s="29" t="s">
        <v>366</v>
      </c>
      <c r="B182" s="40"/>
      <c r="C182" s="40"/>
      <c r="D182" s="92" t="s">
        <v>42</v>
      </c>
      <c r="E182" s="50">
        <f>E183+E184</f>
        <v>1166.9000000000001</v>
      </c>
      <c r="F182" s="50">
        <f>F183+F184</f>
        <v>1129.5999999999999</v>
      </c>
      <c r="G182" s="50"/>
      <c r="H182" s="50">
        <f>I182+L182</f>
        <v>10</v>
      </c>
      <c r="I182" s="50"/>
      <c r="J182" s="50"/>
      <c r="K182" s="50"/>
      <c r="L182" s="50">
        <f>L183</f>
        <v>10</v>
      </c>
      <c r="M182" s="50">
        <f>M183</f>
        <v>10</v>
      </c>
      <c r="N182" s="50">
        <f>N183</f>
        <v>10</v>
      </c>
      <c r="O182" s="50">
        <f t="shared" si="26"/>
        <v>1176.9000000000001</v>
      </c>
    </row>
    <row r="183" spans="1:15" ht="41.4">
      <c r="A183" s="40" t="s">
        <v>367</v>
      </c>
      <c r="B183" s="40" t="s">
        <v>92</v>
      </c>
      <c r="C183" s="40" t="s">
        <v>59</v>
      </c>
      <c r="D183" s="49" t="s">
        <v>94</v>
      </c>
      <c r="E183" s="42">
        <f>988.7+178.2</f>
        <v>1166.9000000000001</v>
      </c>
      <c r="F183" s="42">
        <f>951.4+178.2</f>
        <v>1129.5999999999999</v>
      </c>
      <c r="G183" s="42"/>
      <c r="H183" s="42">
        <f>I183+L183</f>
        <v>10</v>
      </c>
      <c r="I183" s="42"/>
      <c r="J183" s="42"/>
      <c r="K183" s="42"/>
      <c r="L183" s="42">
        <f>10</f>
        <v>10</v>
      </c>
      <c r="M183" s="42">
        <f>10</f>
        <v>10</v>
      </c>
      <c r="N183" s="42">
        <f>10</f>
        <v>10</v>
      </c>
      <c r="O183" s="42">
        <f t="shared" si="26"/>
        <v>1176.9000000000001</v>
      </c>
    </row>
    <row r="184" spans="1:15">
      <c r="A184" s="40" t="s">
        <v>368</v>
      </c>
      <c r="B184" s="40" t="s">
        <v>80</v>
      </c>
      <c r="C184" s="40" t="s">
        <v>81</v>
      </c>
      <c r="D184" s="80" t="s">
        <v>12</v>
      </c>
      <c r="E184" s="42"/>
      <c r="F184" s="42"/>
      <c r="G184" s="42"/>
      <c r="H184" s="42">
        <f>I184+L184</f>
        <v>0</v>
      </c>
      <c r="I184" s="42"/>
      <c r="J184" s="42"/>
      <c r="K184" s="42"/>
      <c r="L184" s="42"/>
      <c r="M184" s="42"/>
      <c r="N184" s="42"/>
      <c r="O184" s="42">
        <f t="shared" si="26"/>
        <v>0</v>
      </c>
    </row>
    <row r="185" spans="1:15" s="94" customFormat="1" ht="27.6">
      <c r="A185" s="29" t="s">
        <v>369</v>
      </c>
      <c r="B185" s="29"/>
      <c r="C185" s="29"/>
      <c r="D185" s="92" t="s">
        <v>32</v>
      </c>
      <c r="E185" s="50">
        <f>E186</f>
        <v>2930.91788</v>
      </c>
      <c r="F185" s="50">
        <f t="shared" ref="F185:O185" si="29">F186</f>
        <v>1533.2</v>
      </c>
      <c r="G185" s="50">
        <f t="shared" si="29"/>
        <v>0</v>
      </c>
      <c r="H185" s="50">
        <f t="shared" si="29"/>
        <v>3020</v>
      </c>
      <c r="I185" s="50">
        <f t="shared" si="29"/>
        <v>0</v>
      </c>
      <c r="J185" s="50">
        <f t="shared" si="29"/>
        <v>0</v>
      </c>
      <c r="K185" s="50">
        <f t="shared" si="29"/>
        <v>0</v>
      </c>
      <c r="L185" s="50">
        <f t="shared" si="29"/>
        <v>3020</v>
      </c>
      <c r="M185" s="50">
        <f t="shared" si="29"/>
        <v>3020</v>
      </c>
      <c r="N185" s="50">
        <f t="shared" si="29"/>
        <v>3020</v>
      </c>
      <c r="O185" s="50">
        <f t="shared" si="29"/>
        <v>5950.91788</v>
      </c>
    </row>
    <row r="186" spans="1:15" ht="27.6">
      <c r="A186" s="29" t="s">
        <v>370</v>
      </c>
      <c r="B186" s="40"/>
      <c r="C186" s="40"/>
      <c r="D186" s="92" t="s">
        <v>32</v>
      </c>
      <c r="E186" s="50">
        <f>E187+E188</f>
        <v>2930.91788</v>
      </c>
      <c r="F186" s="50">
        <f>F187+F188</f>
        <v>1533.2</v>
      </c>
      <c r="G186" s="50"/>
      <c r="H186" s="50">
        <f>I186+L186</f>
        <v>3020</v>
      </c>
      <c r="I186" s="50"/>
      <c r="J186" s="50"/>
      <c r="K186" s="50"/>
      <c r="L186" s="50">
        <f>L187+L188</f>
        <v>3020</v>
      </c>
      <c r="M186" s="50">
        <f>M187+M188</f>
        <v>3020</v>
      </c>
      <c r="N186" s="50">
        <f>N187+N188</f>
        <v>3020</v>
      </c>
      <c r="O186" s="50">
        <f t="shared" si="26"/>
        <v>5950.91788</v>
      </c>
    </row>
    <row r="187" spans="1:15" ht="41.4">
      <c r="A187" s="40" t="s">
        <v>371</v>
      </c>
      <c r="B187" s="40" t="s">
        <v>92</v>
      </c>
      <c r="C187" s="40" t="s">
        <v>59</v>
      </c>
      <c r="D187" s="49" t="s">
        <v>94</v>
      </c>
      <c r="E187" s="42">
        <f>1407+225.4</f>
        <v>1632.4</v>
      </c>
      <c r="F187" s="42">
        <f>1307.8+225.4</f>
        <v>1533.2</v>
      </c>
      <c r="G187" s="42"/>
      <c r="H187" s="42">
        <f>I187+L187</f>
        <v>20</v>
      </c>
      <c r="I187" s="42"/>
      <c r="J187" s="42"/>
      <c r="K187" s="42"/>
      <c r="L187" s="42">
        <f>20-20+20</f>
        <v>20</v>
      </c>
      <c r="M187" s="42">
        <f>20-20+20</f>
        <v>20</v>
      </c>
      <c r="N187" s="42">
        <f>20-20+20</f>
        <v>20</v>
      </c>
      <c r="O187" s="42">
        <f t="shared" si="26"/>
        <v>1652.4</v>
      </c>
    </row>
    <row r="188" spans="1:15">
      <c r="A188" s="40" t="s">
        <v>407</v>
      </c>
      <c r="B188" s="40" t="s">
        <v>80</v>
      </c>
      <c r="C188" s="40" t="s">
        <v>372</v>
      </c>
      <c r="D188" s="80" t="s">
        <v>12</v>
      </c>
      <c r="E188" s="42">
        <f>8145.5+2000-5700-445.38212-2701.6</f>
        <v>1298.5178799999999</v>
      </c>
      <c r="F188" s="42"/>
      <c r="G188" s="42"/>
      <c r="H188" s="42">
        <f>L188</f>
        <v>3000</v>
      </c>
      <c r="I188" s="42"/>
      <c r="J188" s="42"/>
      <c r="K188" s="42"/>
      <c r="L188" s="42">
        <f>3000-2000+2000</f>
        <v>3000</v>
      </c>
      <c r="M188" s="42">
        <f>3000-2000+2000</f>
        <v>3000</v>
      </c>
      <c r="N188" s="42">
        <f>3000-2000+2000</f>
        <v>3000</v>
      </c>
      <c r="O188" s="42">
        <f t="shared" si="26"/>
        <v>4298.5178799999994</v>
      </c>
    </row>
    <row r="189" spans="1:15" s="94" customFormat="1" ht="27.6">
      <c r="A189" s="29" t="s">
        <v>373</v>
      </c>
      <c r="B189" s="29"/>
      <c r="C189" s="29"/>
      <c r="D189" s="115" t="s">
        <v>43</v>
      </c>
      <c r="E189" s="50">
        <f>E190</f>
        <v>34886.399999999994</v>
      </c>
      <c r="F189" s="50"/>
      <c r="G189" s="50"/>
      <c r="H189" s="50">
        <f t="shared" ref="H189:O189" si="30">H190</f>
        <v>2294.8000000000002</v>
      </c>
      <c r="I189" s="50"/>
      <c r="J189" s="50"/>
      <c r="K189" s="50"/>
      <c r="L189" s="50">
        <f t="shared" si="30"/>
        <v>2294.8000000000002</v>
      </c>
      <c r="M189" s="50">
        <f t="shared" si="30"/>
        <v>2294.8000000000002</v>
      </c>
      <c r="N189" s="50">
        <f t="shared" si="30"/>
        <v>2294.8000000000002</v>
      </c>
      <c r="O189" s="50">
        <f t="shared" si="30"/>
        <v>37181.199999999997</v>
      </c>
    </row>
    <row r="190" spans="1:15" s="94" customFormat="1" ht="27.6">
      <c r="A190" s="29" t="s">
        <v>374</v>
      </c>
      <c r="B190" s="29"/>
      <c r="C190" s="29"/>
      <c r="D190" s="115" t="s">
        <v>43</v>
      </c>
      <c r="E190" s="50">
        <f>E191+E192+E193</f>
        <v>34886.399999999994</v>
      </c>
      <c r="F190" s="50"/>
      <c r="G190" s="50"/>
      <c r="H190" s="50">
        <f t="shared" ref="H190:N190" si="31">H191+H192+H193</f>
        <v>2294.8000000000002</v>
      </c>
      <c r="I190" s="50"/>
      <c r="J190" s="50"/>
      <c r="K190" s="50"/>
      <c r="L190" s="50">
        <f t="shared" si="31"/>
        <v>2294.8000000000002</v>
      </c>
      <c r="M190" s="50">
        <f t="shared" si="31"/>
        <v>2294.8000000000002</v>
      </c>
      <c r="N190" s="50">
        <f t="shared" si="31"/>
        <v>2294.8000000000002</v>
      </c>
      <c r="O190" s="50">
        <f t="shared" si="26"/>
        <v>37181.199999999997</v>
      </c>
    </row>
    <row r="191" spans="1:15">
      <c r="A191" s="40" t="s">
        <v>376</v>
      </c>
      <c r="B191" s="40" t="s">
        <v>375</v>
      </c>
      <c r="C191" s="40" t="s">
        <v>81</v>
      </c>
      <c r="D191" s="80" t="s">
        <v>27</v>
      </c>
      <c r="E191" s="42">
        <v>1500</v>
      </c>
      <c r="F191" s="42"/>
      <c r="G191" s="42"/>
      <c r="H191" s="42"/>
      <c r="I191" s="42"/>
      <c r="J191" s="42"/>
      <c r="K191" s="42"/>
      <c r="L191" s="42"/>
      <c r="M191" s="42"/>
      <c r="N191" s="42"/>
      <c r="O191" s="42">
        <f t="shared" si="26"/>
        <v>1500</v>
      </c>
    </row>
    <row r="192" spans="1:15">
      <c r="A192" s="40" t="s">
        <v>378</v>
      </c>
      <c r="B192" s="40" t="s">
        <v>377</v>
      </c>
      <c r="C192" s="40" t="s">
        <v>92</v>
      </c>
      <c r="D192" s="80" t="s">
        <v>28</v>
      </c>
      <c r="E192" s="42">
        <v>32057.7</v>
      </c>
      <c r="F192" s="42"/>
      <c r="G192" s="42"/>
      <c r="H192" s="42"/>
      <c r="I192" s="42"/>
      <c r="J192" s="42"/>
      <c r="K192" s="42"/>
      <c r="L192" s="42"/>
      <c r="M192" s="42"/>
      <c r="N192" s="42"/>
      <c r="O192" s="42">
        <f t="shared" si="26"/>
        <v>32057.7</v>
      </c>
    </row>
    <row r="193" spans="1:15" ht="41.4">
      <c r="A193" s="40" t="s">
        <v>425</v>
      </c>
      <c r="B193" s="40" t="s">
        <v>424</v>
      </c>
      <c r="C193" s="40" t="s">
        <v>92</v>
      </c>
      <c r="D193" s="80" t="s">
        <v>443</v>
      </c>
      <c r="E193" s="42">
        <f>E194+E195+E196+E197+E198</f>
        <v>1328.7</v>
      </c>
      <c r="F193" s="42"/>
      <c r="G193" s="42"/>
      <c r="H193" s="42">
        <f>I193+L193</f>
        <v>2294.8000000000002</v>
      </c>
      <c r="I193" s="42"/>
      <c r="J193" s="42"/>
      <c r="K193" s="42"/>
      <c r="L193" s="42">
        <f>1000+1159+135.8</f>
        <v>2294.8000000000002</v>
      </c>
      <c r="M193" s="42">
        <f>1000+1159+135.8</f>
        <v>2294.8000000000002</v>
      </c>
      <c r="N193" s="42">
        <f>1000+1159+135.8</f>
        <v>2294.8000000000002</v>
      </c>
      <c r="O193" s="42">
        <f t="shared" si="26"/>
        <v>3623.5</v>
      </c>
    </row>
    <row r="194" spans="1:15" ht="156">
      <c r="A194" s="40"/>
      <c r="B194" s="40"/>
      <c r="C194" s="40"/>
      <c r="D194" s="116" t="s">
        <v>433</v>
      </c>
      <c r="E194" s="117">
        <f>50-50</f>
        <v>0</v>
      </c>
      <c r="F194" s="117"/>
      <c r="G194" s="117"/>
      <c r="H194" s="117"/>
      <c r="I194" s="117"/>
      <c r="J194" s="117"/>
      <c r="K194" s="117"/>
      <c r="L194" s="117"/>
      <c r="M194" s="117"/>
      <c r="N194" s="117"/>
      <c r="O194" s="117">
        <f t="shared" si="26"/>
        <v>0</v>
      </c>
    </row>
    <row r="195" spans="1:15" ht="124.8">
      <c r="A195" s="40"/>
      <c r="B195" s="40"/>
      <c r="C195" s="40"/>
      <c r="D195" s="116" t="s">
        <v>434</v>
      </c>
      <c r="E195" s="117">
        <v>9.5</v>
      </c>
      <c r="F195" s="117"/>
      <c r="G195" s="117"/>
      <c r="H195" s="117">
        <f>L195</f>
        <v>39</v>
      </c>
      <c r="I195" s="117"/>
      <c r="J195" s="117"/>
      <c r="K195" s="117"/>
      <c r="L195" s="117">
        <v>39</v>
      </c>
      <c r="M195" s="117">
        <v>39</v>
      </c>
      <c r="N195" s="117">
        <v>39</v>
      </c>
      <c r="O195" s="117">
        <f t="shared" si="26"/>
        <v>48.5</v>
      </c>
    </row>
    <row r="196" spans="1:15" ht="67.5" customHeight="1">
      <c r="A196" s="40"/>
      <c r="B196" s="40"/>
      <c r="C196" s="40"/>
      <c r="D196" s="116" t="s">
        <v>435</v>
      </c>
      <c r="E196" s="117">
        <v>570</v>
      </c>
      <c r="F196" s="117"/>
      <c r="G196" s="117"/>
      <c r="H196" s="117">
        <f>L196</f>
        <v>1120</v>
      </c>
      <c r="I196" s="117"/>
      <c r="J196" s="117"/>
      <c r="K196" s="117"/>
      <c r="L196" s="117">
        <v>1120</v>
      </c>
      <c r="M196" s="117">
        <v>1120</v>
      </c>
      <c r="N196" s="117">
        <v>1120</v>
      </c>
      <c r="O196" s="117">
        <f t="shared" si="26"/>
        <v>1690</v>
      </c>
    </row>
    <row r="197" spans="1:15" s="105" customFormat="1" ht="27.6">
      <c r="A197" s="46"/>
      <c r="B197" s="46"/>
      <c r="C197" s="46"/>
      <c r="D197" s="52" t="s">
        <v>445</v>
      </c>
      <c r="E197" s="117">
        <v>505</v>
      </c>
      <c r="F197" s="51"/>
      <c r="G197" s="51"/>
      <c r="H197" s="117">
        <f>L197</f>
        <v>1000</v>
      </c>
      <c r="I197" s="51"/>
      <c r="J197" s="51"/>
      <c r="K197" s="51"/>
      <c r="L197" s="117">
        <v>1000</v>
      </c>
      <c r="M197" s="117">
        <v>1000</v>
      </c>
      <c r="N197" s="117">
        <v>1000</v>
      </c>
      <c r="O197" s="117">
        <f t="shared" si="26"/>
        <v>1505</v>
      </c>
    </row>
    <row r="198" spans="1:15" s="105" customFormat="1" ht="78">
      <c r="A198" s="46"/>
      <c r="B198" s="46"/>
      <c r="C198" s="46"/>
      <c r="D198" s="135" t="s">
        <v>456</v>
      </c>
      <c r="E198" s="117">
        <v>244.2</v>
      </c>
      <c r="F198" s="51"/>
      <c r="G198" s="51"/>
      <c r="H198" s="117">
        <f>L198</f>
        <v>135.80000000000001</v>
      </c>
      <c r="I198" s="51"/>
      <c r="J198" s="51"/>
      <c r="K198" s="51"/>
      <c r="L198" s="117">
        <v>135.80000000000001</v>
      </c>
      <c r="M198" s="117">
        <v>135.80000000000001</v>
      </c>
      <c r="N198" s="117">
        <v>135.80000000000001</v>
      </c>
      <c r="O198" s="117">
        <f t="shared" si="26"/>
        <v>380</v>
      </c>
    </row>
    <row r="199" spans="1:15">
      <c r="A199" s="40"/>
      <c r="B199" s="40"/>
      <c r="C199" s="40"/>
      <c r="D199" s="118"/>
      <c r="E199" s="119">
        <f>E14+E31+E35+E39+E43+E65+E78+E125+E131+E139+E164+E171+E181+E185+E189</f>
        <v>571893.79580000008</v>
      </c>
      <c r="F199" s="120">
        <f>F15+F32+F36+F40+F44+F66+F79+F126+F132+F140+F165+F172+F182+F186+F190</f>
        <v>272964.09999999998</v>
      </c>
      <c r="G199" s="120">
        <f>G15+G32+G36+G40+G44+G66+G79+G126+G132+G140+G165+G172+G182+G186+G190</f>
        <v>27303.700000000004</v>
      </c>
      <c r="H199" s="119">
        <f>I199+L199</f>
        <v>185085.02653</v>
      </c>
      <c r="I199" s="119">
        <f>I15+I32+I40+I44+I66+I79+I132+I140+I172+I165</f>
        <v>17549.825530000002</v>
      </c>
      <c r="J199" s="120">
        <f>J15+J32+J36+J40+J44+J66+J79+J126+J132+J140+J165+J172+J182+J186+J190</f>
        <v>5314.5229999999992</v>
      </c>
      <c r="K199" s="120">
        <f>K15+K32+K36+K40+K44+K66+K79+K126+K132+K140+K165+K172+K182+K186+K190</f>
        <v>488.09999999999997</v>
      </c>
      <c r="L199" s="120">
        <f>L15+L32+L36+L40+L44+L66+L79+L126+L132+L140+L165+L172+L182+L186+L190</f>
        <v>167535.201</v>
      </c>
      <c r="M199" s="120">
        <f>M15+M32+M36+M40+M44+M66+M79+M126+M132+M140+M165+M172+M182+M186+M190</f>
        <v>166861.19999999998</v>
      </c>
      <c r="N199" s="120">
        <f>N15+N32+N36+N40+N44+N66+N79+N126+N132+N140+N165+N172+N182+N186+N190</f>
        <v>158851.19999999998</v>
      </c>
      <c r="O199" s="121">
        <f>E199+H199</f>
        <v>756978.82233000011</v>
      </c>
    </row>
    <row r="200" spans="1:15">
      <c r="D200" s="122"/>
      <c r="E200" s="122"/>
      <c r="F200" s="122"/>
      <c r="G200" s="122"/>
      <c r="H200" s="123"/>
      <c r="I200" s="124"/>
      <c r="J200" s="124"/>
      <c r="K200" s="124"/>
      <c r="L200" s="124"/>
      <c r="M200" s="124"/>
      <c r="N200" s="124"/>
      <c r="O200" s="124"/>
    </row>
    <row r="201" spans="1:15" s="133" customFormat="1" ht="18">
      <c r="A201" s="132"/>
      <c r="B201" s="132"/>
      <c r="C201" s="132"/>
      <c r="D201" s="133" t="s">
        <v>403</v>
      </c>
      <c r="E201" s="131"/>
      <c r="I201" s="134"/>
      <c r="L201" s="133" t="s">
        <v>404</v>
      </c>
    </row>
    <row r="202" spans="1:15" s="84" customFormat="1" ht="13.8">
      <c r="A202" s="87"/>
      <c r="B202" s="87"/>
      <c r="C202" s="87"/>
      <c r="D202" s="126"/>
      <c r="E202" s="127"/>
      <c r="K202" s="126"/>
    </row>
    <row r="203" spans="1:15">
      <c r="D203" s="43" t="s">
        <v>453</v>
      </c>
      <c r="E203" s="128">
        <f>E199-551176.05125</f>
        <v>20717.744550000061</v>
      </c>
      <c r="F203" s="128">
        <f>F199-254188.5</f>
        <v>18775.599999999977</v>
      </c>
      <c r="G203" s="128">
        <f>G199-27303.7</f>
        <v>0</v>
      </c>
      <c r="H203" s="128">
        <f>H199-181394.01788</f>
        <v>3691.0086500000034</v>
      </c>
      <c r="I203" s="128">
        <f>I199-16032.11788</f>
        <v>1517.7076500000021</v>
      </c>
      <c r="J203" s="128">
        <f>J199-5446.4</f>
        <v>-131.87700000000041</v>
      </c>
      <c r="K203" s="128">
        <f>K199-488.1</f>
        <v>0</v>
      </c>
      <c r="L203" s="128">
        <f>L199-165361.9</f>
        <v>2173.3010000000068</v>
      </c>
      <c r="M203" s="128">
        <f>M199-164568.4</f>
        <v>2292.7999999999884</v>
      </c>
      <c r="N203" s="128">
        <f>N199-156558.4</f>
        <v>2292.7999999999884</v>
      </c>
      <c r="O203" s="128">
        <f>O199-732570.06913</f>
        <v>24408.753200000152</v>
      </c>
    </row>
    <row r="204" spans="1:15">
      <c r="E204" s="81"/>
      <c r="F204" s="81"/>
      <c r="G204" s="81"/>
      <c r="H204" s="81"/>
      <c r="I204" s="81"/>
      <c r="J204" s="81"/>
      <c r="K204" s="81"/>
      <c r="L204" s="81"/>
      <c r="M204" s="81"/>
      <c r="N204" s="81"/>
    </row>
    <row r="205" spans="1:15">
      <c r="E205" s="125"/>
      <c r="F205" s="125"/>
      <c r="G205" s="125"/>
      <c r="H205" s="125"/>
      <c r="I205" s="125"/>
      <c r="J205" s="125"/>
      <c r="K205" s="125"/>
      <c r="L205" s="125"/>
      <c r="M205" s="125"/>
      <c r="N205" s="125"/>
      <c r="O205" s="81"/>
    </row>
    <row r="206" spans="1:15">
      <c r="E206" s="125"/>
      <c r="F206" s="81"/>
      <c r="G206" s="81"/>
      <c r="H206" s="81"/>
      <c r="I206" s="81"/>
      <c r="J206" s="81"/>
      <c r="K206" s="81"/>
      <c r="L206" s="81"/>
      <c r="M206" s="81"/>
      <c r="N206" s="81"/>
      <c r="O206" s="81"/>
    </row>
    <row r="207" spans="1:15">
      <c r="E207" s="125"/>
      <c r="F207" s="125"/>
      <c r="G207" s="125"/>
      <c r="H207" s="125"/>
      <c r="I207" s="125"/>
    </row>
    <row r="208" spans="1:15">
      <c r="E208" s="125"/>
      <c r="F208" s="125"/>
      <c r="G208" s="125"/>
      <c r="H208" s="125"/>
      <c r="I208" s="125"/>
      <c r="J208" s="125"/>
      <c r="K208" s="125"/>
      <c r="L208" s="125"/>
      <c r="M208" s="125"/>
      <c r="N208" s="125"/>
    </row>
    <row r="209" spans="4:9">
      <c r="D209" s="129"/>
      <c r="E209" s="125"/>
      <c r="F209" s="125"/>
      <c r="G209" s="125"/>
      <c r="H209" s="125"/>
      <c r="I209" s="125"/>
    </row>
    <row r="210" spans="4:9">
      <c r="E210" s="81"/>
      <c r="F210" s="81"/>
      <c r="G210" s="81"/>
      <c r="H210" s="81"/>
      <c r="I210" s="81"/>
    </row>
    <row r="212" spans="4:9">
      <c r="H212" s="125"/>
    </row>
    <row r="213" spans="4:9">
      <c r="E213" s="81"/>
    </row>
    <row r="214" spans="4:9">
      <c r="E214" s="81"/>
    </row>
    <row r="215" spans="4:9">
      <c r="E215" s="81"/>
      <c r="H215" s="81"/>
    </row>
    <row r="216" spans="4:9">
      <c r="E216" s="81"/>
    </row>
    <row r="217" spans="4:9">
      <c r="H217" s="81"/>
    </row>
  </sheetData>
  <mergeCells count="22">
    <mergeCell ref="B5:O5"/>
    <mergeCell ref="D7:O7"/>
    <mergeCell ref="L10:L12"/>
    <mergeCell ref="M10:N10"/>
    <mergeCell ref="K11:K12"/>
    <mergeCell ref="J11:J12"/>
    <mergeCell ref="O9:O12"/>
    <mergeCell ref="A6:O6"/>
    <mergeCell ref="B9:B12"/>
    <mergeCell ref="C9:C12"/>
    <mergeCell ref="A9:A12"/>
    <mergeCell ref="H9:N9"/>
    <mergeCell ref="E10:E12"/>
    <mergeCell ref="F10:G10"/>
    <mergeCell ref="E9:G9"/>
    <mergeCell ref="G11:G12"/>
    <mergeCell ref="D9:D12"/>
    <mergeCell ref="M11:M12"/>
    <mergeCell ref="F11:F12"/>
    <mergeCell ref="J10:K10"/>
    <mergeCell ref="I10:I12"/>
    <mergeCell ref="H10:H12"/>
  </mergeCells>
  <phoneticPr fontId="0" type="noConversion"/>
  <printOptions horizontalCentered="1"/>
  <pageMargins left="0.15748031496062992" right="0.15748031496062992" top="0.27559055118110237" bottom="0.15748031496062992" header="0.23622047244094491" footer="0.15748031496062992"/>
  <pageSetup paperSize="9" scale="56" fitToHeight="9" orientation="landscape" r:id="rId1"/>
  <rowBreaks count="2" manualBreakCount="2">
    <brk id="46" max="16383" man="1"/>
    <brk id="186"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зміни</vt:lpstr>
      <vt:lpstr>Дод. № 3 із змінами</vt:lpstr>
      <vt:lpstr>зміни!Заголовки_для_печати</vt:lpstr>
      <vt:lpstr>'Дод. № 3 із змінами'!Область_печати</vt:lpstr>
      <vt:lpstr>зміни!Область_печати</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Oksana</cp:lastModifiedBy>
  <cp:lastPrinted>2017-06-16T09:02:29Z</cp:lastPrinted>
  <dcterms:created xsi:type="dcterms:W3CDTF">2012-12-15T07:44:03Z</dcterms:created>
  <dcterms:modified xsi:type="dcterms:W3CDTF">2017-06-16T10:16:59Z</dcterms:modified>
</cp:coreProperties>
</file>