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96" windowWidth="14220" windowHeight="10368"/>
  </bookViews>
  <sheets>
    <sheet name="зміни" sheetId="5" r:id="rId1"/>
    <sheet name="Дод. № 2 _із змінами" sheetId="4" state="hidden" r:id="rId2"/>
  </sheets>
  <definedNames>
    <definedName name="_xlnm.Print_Titles" localSheetId="1">'Дод. № 2 _із змінами'!$10:$14</definedName>
    <definedName name="_xlnm.Print_Titles" localSheetId="0">зміни!$8:$12</definedName>
    <definedName name="_xlnm.Print_Area" localSheetId="1">'Дод. № 2 _із змінами'!$A$1:$N$143</definedName>
    <definedName name="_xlnm.Print_Area" localSheetId="0">зміни!$A$1:$N$55</definedName>
  </definedNames>
  <calcPr calcId="124519"/>
</workbook>
</file>

<file path=xl/calcChain.xml><?xml version="1.0" encoding="utf-8"?>
<calcChain xmlns="http://schemas.openxmlformats.org/spreadsheetml/2006/main">
  <c r="N24" i="5"/>
  <c r="M87" i="4"/>
  <c r="L87"/>
  <c r="K87"/>
  <c r="I89"/>
  <c r="I39" i="5"/>
  <c r="M136" i="4"/>
  <c r="L136"/>
  <c r="K136"/>
  <c r="D136"/>
  <c r="D135"/>
  <c r="D126"/>
  <c r="M111"/>
  <c r="L111"/>
  <c r="K111"/>
  <c r="D114"/>
  <c r="M102"/>
  <c r="M101" s="1"/>
  <c r="L102"/>
  <c r="L101" s="1"/>
  <c r="K102"/>
  <c r="K101" s="1"/>
  <c r="M107"/>
  <c r="L107"/>
  <c r="K107"/>
  <c r="M108"/>
  <c r="L108"/>
  <c r="K108"/>
  <c r="D108"/>
  <c r="E89"/>
  <c r="D89"/>
  <c r="M88"/>
  <c r="L88"/>
  <c r="K88"/>
  <c r="D88"/>
  <c r="D87"/>
  <c r="D86"/>
  <c r="D84"/>
  <c r="E34"/>
  <c r="D34"/>
  <c r="E25"/>
  <c r="D25"/>
  <c r="D20"/>
  <c r="E20"/>
  <c r="M19"/>
  <c r="L19"/>
  <c r="K19"/>
  <c r="E19"/>
  <c r="D19"/>
  <c r="E17"/>
  <c r="D17"/>
  <c r="E16"/>
  <c r="D16"/>
  <c r="M17"/>
  <c r="L17"/>
  <c r="K17"/>
  <c r="D50" i="5"/>
  <c r="D49"/>
  <c r="M44"/>
  <c r="M43" s="1"/>
  <c r="L44"/>
  <c r="L43" s="1"/>
  <c r="K44"/>
  <c r="K43" s="1"/>
  <c r="L39"/>
  <c r="M39"/>
  <c r="K39"/>
  <c r="F39"/>
  <c r="F53" s="1"/>
  <c r="D39"/>
  <c r="D14"/>
  <c r="E41"/>
  <c r="E39" s="1"/>
  <c r="D21"/>
  <c r="D16"/>
  <c r="E16"/>
  <c r="H21"/>
  <c r="K34" i="4"/>
  <c r="H34"/>
  <c r="H18" i="5"/>
  <c r="K21"/>
  <c r="E32"/>
  <c r="D32"/>
  <c r="G122" i="4"/>
  <c r="N122" s="1"/>
  <c r="I121"/>
  <c r="J121"/>
  <c r="K121"/>
  <c r="L121"/>
  <c r="M121"/>
  <c r="H121"/>
  <c r="E121"/>
  <c r="F121"/>
  <c r="D121"/>
  <c r="G103"/>
  <c r="N103" s="1"/>
  <c r="H138"/>
  <c r="I20"/>
  <c r="H20"/>
  <c r="K138"/>
  <c r="M135"/>
  <c r="L135"/>
  <c r="K135"/>
  <c r="H35"/>
  <c r="K16"/>
  <c r="H16"/>
  <c r="E88"/>
  <c r="E74"/>
  <c r="E73"/>
  <c r="E69"/>
  <c r="D90"/>
  <c r="D81"/>
  <c r="D74"/>
  <c r="D73"/>
  <c r="D69"/>
  <c r="D43"/>
  <c r="D42"/>
  <c r="D41"/>
  <c r="D40"/>
  <c r="D39"/>
  <c r="D38"/>
  <c r="D24" i="5"/>
  <c r="N29"/>
  <c r="N30"/>
  <c r="N31"/>
  <c r="N28"/>
  <c r="N26"/>
  <c r="N25"/>
  <c r="K51"/>
  <c r="H51"/>
  <c r="G121" i="4" l="1"/>
  <c r="N121" s="1"/>
  <c r="G51" i="5"/>
  <c r="N51" s="1"/>
  <c r="G52"/>
  <c r="N52" s="1"/>
  <c r="G17" l="1"/>
  <c r="N17" s="1"/>
  <c r="G50"/>
  <c r="L16"/>
  <c r="M16"/>
  <c r="K16"/>
  <c r="G47"/>
  <c r="N47" s="1"/>
  <c r="L46"/>
  <c r="M46"/>
  <c r="K46"/>
  <c r="G46" s="1"/>
  <c r="G45"/>
  <c r="N45" s="1"/>
  <c r="G40"/>
  <c r="N40" s="1"/>
  <c r="G41"/>
  <c r="N41" s="1"/>
  <c r="G42"/>
  <c r="N42" s="1"/>
  <c r="E34"/>
  <c r="E23" s="1"/>
  <c r="D34"/>
  <c r="E20"/>
  <c r="D20"/>
  <c r="G21"/>
  <c r="N21" s="1"/>
  <c r="K20"/>
  <c r="H20"/>
  <c r="G22"/>
  <c r="N22" s="1"/>
  <c r="I16"/>
  <c r="H16"/>
  <c r="G18"/>
  <c r="G20" l="1"/>
  <c r="N46"/>
  <c r="D23"/>
  <c r="N23" s="1"/>
  <c r="G16"/>
  <c r="N16" s="1"/>
  <c r="G44"/>
  <c r="N44" s="1"/>
  <c r="G39"/>
  <c r="N39" s="1"/>
  <c r="N20"/>
  <c r="N12"/>
  <c r="I13"/>
  <c r="I53" s="1"/>
  <c r="J13"/>
  <c r="J53" s="1"/>
  <c r="K13"/>
  <c r="L13"/>
  <c r="L53" s="1"/>
  <c r="M13"/>
  <c r="H13"/>
  <c r="H53" s="1"/>
  <c r="G14"/>
  <c r="N14" s="1"/>
  <c r="G15"/>
  <c r="N15" s="1"/>
  <c r="E13"/>
  <c r="E53" s="1"/>
  <c r="D13"/>
  <c r="L132" i="4"/>
  <c r="D48"/>
  <c r="N48" s="1"/>
  <c r="D47"/>
  <c r="D46"/>
  <c r="N46" s="1"/>
  <c r="N43"/>
  <c r="N37" i="5"/>
  <c r="N36"/>
  <c r="N35"/>
  <c r="N33"/>
  <c r="P18"/>
  <c r="G129" i="4"/>
  <c r="N129"/>
  <c r="H128"/>
  <c r="H127" s="1"/>
  <c r="G127" s="1"/>
  <c r="D128"/>
  <c r="D127" s="1"/>
  <c r="D123"/>
  <c r="N50" i="5"/>
  <c r="D15" i="4"/>
  <c r="G16"/>
  <c r="G17"/>
  <c r="M20"/>
  <c r="L20"/>
  <c r="K20"/>
  <c r="N42"/>
  <c r="N44"/>
  <c r="N47"/>
  <c r="N49"/>
  <c r="N50"/>
  <c r="N51"/>
  <c r="N41"/>
  <c r="N38"/>
  <c r="G138"/>
  <c r="N138" s="1"/>
  <c r="M132"/>
  <c r="G136"/>
  <c r="N136" s="1"/>
  <c r="G135"/>
  <c r="K110"/>
  <c r="G110" s="1"/>
  <c r="M106"/>
  <c r="L106"/>
  <c r="K106"/>
  <c r="G102"/>
  <c r="L95"/>
  <c r="L91" s="1"/>
  <c r="M95"/>
  <c r="M91"/>
  <c r="K95"/>
  <c r="K91"/>
  <c r="G91" s="1"/>
  <c r="G96"/>
  <c r="H95"/>
  <c r="G95" s="1"/>
  <c r="D96"/>
  <c r="D78"/>
  <c r="N78" s="1"/>
  <c r="L68"/>
  <c r="M68"/>
  <c r="K68"/>
  <c r="D68"/>
  <c r="N67"/>
  <c r="N66"/>
  <c r="E35"/>
  <c r="D35"/>
  <c r="I35"/>
  <c r="I33" s="1"/>
  <c r="G35"/>
  <c r="M34"/>
  <c r="L34"/>
  <c r="K33"/>
  <c r="D31"/>
  <c r="G29"/>
  <c r="D29"/>
  <c r="K27"/>
  <c r="D27"/>
  <c r="E21"/>
  <c r="D21"/>
  <c r="M15"/>
  <c r="K15"/>
  <c r="N98"/>
  <c r="N77"/>
  <c r="L48" i="5"/>
  <c r="M48"/>
  <c r="K48"/>
  <c r="G48" s="1"/>
  <c r="G49"/>
  <c r="N49" s="1"/>
  <c r="L33" i="4"/>
  <c r="M33"/>
  <c r="E96"/>
  <c r="E95" s="1"/>
  <c r="E91" s="1"/>
  <c r="E87"/>
  <c r="E86"/>
  <c r="E85"/>
  <c r="D85"/>
  <c r="D72"/>
  <c r="N72" s="1"/>
  <c r="E31"/>
  <c r="E30"/>
  <c r="D30"/>
  <c r="N30" s="1"/>
  <c r="E29"/>
  <c r="E27"/>
  <c r="E26"/>
  <c r="D26"/>
  <c r="E23"/>
  <c r="D23"/>
  <c r="N23" s="1"/>
  <c r="E22"/>
  <c r="E18" s="1"/>
  <c r="D22"/>
  <c r="N22" s="1"/>
  <c r="E15"/>
  <c r="D52"/>
  <c r="G52"/>
  <c r="N54"/>
  <c r="D45"/>
  <c r="G45"/>
  <c r="D57"/>
  <c r="N57" s="1"/>
  <c r="G57"/>
  <c r="D70"/>
  <c r="N70" s="1"/>
  <c r="G69"/>
  <c r="N69" s="1"/>
  <c r="G68"/>
  <c r="N68" s="1"/>
  <c r="N71"/>
  <c r="G125"/>
  <c r="N125" s="1"/>
  <c r="D37"/>
  <c r="D79"/>
  <c r="D82"/>
  <c r="G37"/>
  <c r="D92"/>
  <c r="D95"/>
  <c r="D97"/>
  <c r="N97" s="1"/>
  <c r="D105"/>
  <c r="D99"/>
  <c r="G107"/>
  <c r="N107" s="1"/>
  <c r="G106"/>
  <c r="K123"/>
  <c r="G123" s="1"/>
  <c r="D118"/>
  <c r="G120"/>
  <c r="N120"/>
  <c r="G118"/>
  <c r="N118"/>
  <c r="G113"/>
  <c r="G112"/>
  <c r="N112" s="1"/>
  <c r="L123"/>
  <c r="M123"/>
  <c r="G124"/>
  <c r="N124"/>
  <c r="L110"/>
  <c r="F95"/>
  <c r="F91" s="1"/>
  <c r="N93"/>
  <c r="N94"/>
  <c r="E115"/>
  <c r="F115"/>
  <c r="H115"/>
  <c r="I115"/>
  <c r="J115"/>
  <c r="K115"/>
  <c r="K37"/>
  <c r="K45"/>
  <c r="K52"/>
  <c r="K36" s="1"/>
  <c r="K57"/>
  <c r="K109"/>
  <c r="G109" s="1"/>
  <c r="N109" s="1"/>
  <c r="K117"/>
  <c r="G117"/>
  <c r="K137"/>
  <c r="K85"/>
  <c r="L115"/>
  <c r="M115"/>
  <c r="M18"/>
  <c r="M37"/>
  <c r="M45"/>
  <c r="M52"/>
  <c r="M57"/>
  <c r="M109"/>
  <c r="M117"/>
  <c r="M85"/>
  <c r="M110"/>
  <c r="D115"/>
  <c r="E52"/>
  <c r="F52"/>
  <c r="H52"/>
  <c r="I52"/>
  <c r="J52"/>
  <c r="L52"/>
  <c r="L37"/>
  <c r="L45"/>
  <c r="L36" s="1"/>
  <c r="L57"/>
  <c r="N56"/>
  <c r="J18"/>
  <c r="L18"/>
  <c r="E57"/>
  <c r="F57"/>
  <c r="H57"/>
  <c r="I57"/>
  <c r="J57"/>
  <c r="N84"/>
  <c r="N76"/>
  <c r="N75"/>
  <c r="N74"/>
  <c r="F72"/>
  <c r="E72"/>
  <c r="H68"/>
  <c r="F68"/>
  <c r="E68"/>
  <c r="E45"/>
  <c r="F45"/>
  <c r="H45"/>
  <c r="H37"/>
  <c r="H36" s="1"/>
  <c r="I45"/>
  <c r="J45"/>
  <c r="E37"/>
  <c r="F37"/>
  <c r="F15"/>
  <c r="F18"/>
  <c r="F33"/>
  <c r="F85"/>
  <c r="I37"/>
  <c r="J37"/>
  <c r="N134"/>
  <c r="N133"/>
  <c r="K118"/>
  <c r="L118"/>
  <c r="M118"/>
  <c r="G116"/>
  <c r="N116" s="1"/>
  <c r="G115"/>
  <c r="N115" s="1"/>
  <c r="N114"/>
  <c r="M112"/>
  <c r="L112"/>
  <c r="K112"/>
  <c r="G111"/>
  <c r="N111" s="1"/>
  <c r="D110"/>
  <c r="N96"/>
  <c r="N95"/>
  <c r="G90"/>
  <c r="N90" s="1"/>
  <c r="G89"/>
  <c r="N89" s="1"/>
  <c r="G88"/>
  <c r="N88" s="1"/>
  <c r="G87"/>
  <c r="N87" s="1"/>
  <c r="G86"/>
  <c r="N86"/>
  <c r="L85"/>
  <c r="I85"/>
  <c r="H85"/>
  <c r="L109"/>
  <c r="D33"/>
  <c r="G27"/>
  <c r="N27" s="1"/>
  <c r="G19"/>
  <c r="N19" s="1"/>
  <c r="M105"/>
  <c r="N21"/>
  <c r="N24"/>
  <c r="N26"/>
  <c r="N131"/>
  <c r="N119"/>
  <c r="G108"/>
  <c r="N108" s="1"/>
  <c r="N83"/>
  <c r="N82"/>
  <c r="N81"/>
  <c r="N80"/>
  <c r="N79" s="1"/>
  <c r="J33"/>
  <c r="H33"/>
  <c r="E33"/>
  <c r="G34"/>
  <c r="N34" s="1"/>
  <c r="N32"/>
  <c r="G31"/>
  <c r="N31" s="1"/>
  <c r="N29"/>
  <c r="N28"/>
  <c r="G25"/>
  <c r="N25" s="1"/>
  <c r="G20"/>
  <c r="N20" s="1"/>
  <c r="H18"/>
  <c r="I18"/>
  <c r="G126"/>
  <c r="N55"/>
  <c r="N53"/>
  <c r="G139"/>
  <c r="N139" s="1"/>
  <c r="H137"/>
  <c r="G137" s="1"/>
  <c r="N137" s="1"/>
  <c r="D130"/>
  <c r="N130"/>
  <c r="L117"/>
  <c r="D117"/>
  <c r="N117" s="1"/>
  <c r="N104"/>
  <c r="G100"/>
  <c r="N100"/>
  <c r="N65"/>
  <c r="N64"/>
  <c r="N63"/>
  <c r="N62"/>
  <c r="N61"/>
  <c r="N60"/>
  <c r="N59"/>
  <c r="N58"/>
  <c r="L15"/>
  <c r="H15"/>
  <c r="L105"/>
  <c r="N92"/>
  <c r="N113"/>
  <c r="N126"/>
  <c r="N16"/>
  <c r="N73"/>
  <c r="K132"/>
  <c r="G132" s="1"/>
  <c r="G128"/>
  <c r="F140" l="1"/>
  <c r="I36"/>
  <c r="I140" s="1"/>
  <c r="D91"/>
  <c r="G36"/>
  <c r="K99"/>
  <c r="G99" s="1"/>
  <c r="N99" s="1"/>
  <c r="M99"/>
  <c r="N128"/>
  <c r="K105"/>
  <c r="H140"/>
  <c r="F36"/>
  <c r="J36"/>
  <c r="J140" s="1"/>
  <c r="M36"/>
  <c r="M140" s="1"/>
  <c r="N37"/>
  <c r="N52"/>
  <c r="N35"/>
  <c r="L99"/>
  <c r="K18"/>
  <c r="K140" s="1"/>
  <c r="G140" s="1"/>
  <c r="G15"/>
  <c r="N127"/>
  <c r="M53" i="5"/>
  <c r="K53"/>
  <c r="G53" s="1"/>
  <c r="N102" i="4"/>
  <c r="G101"/>
  <c r="N101" s="1"/>
  <c r="L140"/>
  <c r="N110"/>
  <c r="G105"/>
  <c r="N105" s="1"/>
  <c r="G85"/>
  <c r="N85" s="1"/>
  <c r="G33"/>
  <c r="N33" s="1"/>
  <c r="N15"/>
  <c r="E36"/>
  <c r="E140" s="1"/>
  <c r="G43" i="5"/>
  <c r="N43" s="1"/>
  <c r="D48"/>
  <c r="D53" s="1"/>
  <c r="G13"/>
  <c r="D132" i="4"/>
  <c r="N132" s="1"/>
  <c r="N135"/>
  <c r="N38" i="5"/>
  <c r="N91" i="4"/>
  <c r="N123"/>
  <c r="D18"/>
  <c r="P36"/>
  <c r="N106"/>
  <c r="N17"/>
  <c r="N45"/>
  <c r="D36"/>
  <c r="N32" i="5"/>
  <c r="N34"/>
  <c r="G18" i="4" l="1"/>
  <c r="D140"/>
  <c r="N13" i="5"/>
  <c r="N53"/>
  <c r="N48"/>
  <c r="N18"/>
  <c r="N18" i="4"/>
  <c r="N36"/>
  <c r="N140" l="1"/>
</calcChain>
</file>

<file path=xl/comments1.xml><?xml version="1.0" encoding="utf-8"?>
<comments xmlns="http://schemas.openxmlformats.org/spreadsheetml/2006/main">
  <authors>
    <author>User</author>
  </authors>
  <commentList>
    <comment ref="B52" authorId="0">
      <text>
        <r>
          <rPr>
            <b/>
            <sz val="9"/>
            <color indexed="81"/>
            <rFont val="Tahoma"/>
            <family val="2"/>
            <charset val="204"/>
          </rPr>
          <t>User:</t>
        </r>
        <r>
          <rPr>
            <sz val="9"/>
            <color indexed="81"/>
            <rFont val="Tahoma"/>
            <family val="2"/>
            <charset val="204"/>
          </rPr>
          <t xml:space="preserve">
в наказе только в єтом сборном коде есть КФК</t>
        </r>
      </text>
    </comment>
    <comment ref="C67" authorId="0">
      <text>
        <r>
          <rPr>
            <b/>
            <sz val="9"/>
            <color indexed="81"/>
            <rFont val="Tahoma"/>
            <family val="2"/>
            <charset val="204"/>
          </rPr>
          <t>User:</t>
        </r>
        <r>
          <rPr>
            <sz val="9"/>
            <color indexed="81"/>
            <rFont val="Tahoma"/>
            <family val="2"/>
            <charset val="204"/>
          </rPr>
          <t xml:space="preserve">
нет в дод3</t>
        </r>
      </text>
    </comment>
  </commentList>
</comments>
</file>

<file path=xl/sharedStrings.xml><?xml version="1.0" encoding="utf-8"?>
<sst xmlns="http://schemas.openxmlformats.org/spreadsheetml/2006/main" count="496" uniqueCount="300">
  <si>
    <t>(тис.грн.)</t>
  </si>
  <si>
    <t>Найменування коду тимчасової класифікації видатків та кредитування місцевих бюджетів</t>
  </si>
  <si>
    <t>Видатки загального фонду</t>
  </si>
  <si>
    <t>Всього</t>
  </si>
  <si>
    <t>з них</t>
  </si>
  <si>
    <t>комунальні послуги та енергоносії</t>
  </si>
  <si>
    <t>Видатки спеціального фонду</t>
  </si>
  <si>
    <t>споживання</t>
  </si>
  <si>
    <t>розвитку</t>
  </si>
  <si>
    <t>бюджет розвитку</t>
  </si>
  <si>
    <t>капітальні видатки за рахунок коштів, що передаються із загального фонду до бюджету розвитку (спеціального фонду)</t>
  </si>
  <si>
    <t>РАЗОМ</t>
  </si>
  <si>
    <t>Державне управління </t>
  </si>
  <si>
    <t>Освіта </t>
  </si>
  <si>
    <t>Соціальний захист та соціальне забезпечення </t>
  </si>
  <si>
    <t>Житлово-комунальне господарство </t>
  </si>
  <si>
    <t>Культура і мистецтво </t>
  </si>
  <si>
    <t>Палаци і будинки культури, клуби та інші заклади клубного типу </t>
  </si>
  <si>
    <t>Інші культурно-освітні заклади та заходи </t>
  </si>
  <si>
    <t>Інші видатки </t>
  </si>
  <si>
    <t>Будівництво </t>
  </si>
  <si>
    <t>Видатки, не віднесені до основних груп </t>
  </si>
  <si>
    <t>оплата праці з нарахуваннями</t>
  </si>
  <si>
    <t>Резервний фонд</t>
  </si>
  <si>
    <t>Благоустрій міст, сіл, селищ </t>
  </si>
  <si>
    <t>Бібліотеки </t>
  </si>
  <si>
    <t>Музеї і виставки </t>
  </si>
  <si>
    <t>Школи естетичного виховання дітей </t>
  </si>
  <si>
    <t>Засоби масової інформації </t>
  </si>
  <si>
    <t>Фізична культура і спорт </t>
  </si>
  <si>
    <t>Розробка схем та проектних рішень масового застосування </t>
  </si>
  <si>
    <t>Транспорт, дорожнє господарство, зв`язок, телекомунікації та інформатика </t>
  </si>
  <si>
    <t>Інші послуги, пов`язані з економічною діяльністю </t>
  </si>
  <si>
    <t>Внески органів влади Автономної Республіки Крим та органів місцевого самоврядування у статутні фонди суб`єктів підприємницької діяльності </t>
  </si>
  <si>
    <t>Інші заходи, пов`язані з економічною діяльністю </t>
  </si>
  <si>
    <t>Запобігання та ліквідація надзвичайних ситуацій та наслідків стихійного лиха </t>
  </si>
  <si>
    <t>Видатки на запобігання та ліквідацію надзвичайних ситуацій та наслідків стихійного лиха </t>
  </si>
  <si>
    <t>Цільові фонди </t>
  </si>
  <si>
    <t>Інша діяльність у сфері охорони навколишнього природного середовища </t>
  </si>
  <si>
    <t>Цільові фонди, утворені Верховною Радою Автономної Республіки Крим, органами місцевого самоврядування і місцевими органами виконавчої влади </t>
  </si>
  <si>
    <t>Реверсна дотація </t>
  </si>
  <si>
    <t>Видатки бюджету міста Чорноморська  на 2017 рік</t>
  </si>
  <si>
    <t xml:space="preserve">в тому числі оплата праці з нарахуваннями педагогічних працівників у таких типах навчальних закладів за рахунок освітньої  субвенції </t>
  </si>
  <si>
    <t>Охорона здоров'я</t>
  </si>
  <si>
    <t xml:space="preserve">Інші видатки на соціальний захист населення </t>
  </si>
  <si>
    <t>за типовою програмною  класифікацією видатків та кредитування місцевих бюджетів</t>
  </si>
  <si>
    <t>Код ТПКВКМБ/ТКВКБМС</t>
  </si>
  <si>
    <t>Код ФКВКБ</t>
  </si>
  <si>
    <t>14=4+7</t>
  </si>
  <si>
    <t>0100</t>
  </si>
  <si>
    <t>0170</t>
  </si>
  <si>
    <t>0180</t>
  </si>
  <si>
    <t>0111</t>
  </si>
  <si>
    <t>Організаційне, інформатично-аналітичне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органів</t>
  </si>
  <si>
    <t>Керівництво і управління у відповідній сфері у містах республіканського Автономної Республіки Крим та обласного значення</t>
  </si>
  <si>
    <t>1000</t>
  </si>
  <si>
    <t>0910</t>
  </si>
  <si>
    <t>1010</t>
  </si>
  <si>
    <t xml:space="preserve">Дошкільна освіта </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</si>
  <si>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</si>
  <si>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</si>
  <si>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</si>
  <si>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</si>
  <si>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освiти вечiрнiми (змiнними) школами</t>
  </si>
  <si>
    <t>1060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</si>
  <si>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t>
  </si>
  <si>
    <t>0922</t>
  </si>
  <si>
    <t>1090</t>
  </si>
  <si>
    <t>0960</t>
  </si>
  <si>
    <t>Надання позашкільної освіти позашкільними закладами освіти, заходи із позашкільної роботи з дітьми</t>
  </si>
  <si>
    <t>1150</t>
  </si>
  <si>
    <t>0950</t>
  </si>
  <si>
    <t>Підвищення кваліфікації, перепідготовка кадрів іншими закладами післядипломної освіти</t>
  </si>
  <si>
    <t>1170</t>
  </si>
  <si>
    <t>0990</t>
  </si>
  <si>
    <t xml:space="preserve">Методичне забезпечення діяльності навчальних закладів та інші заходи в галузі освіти </t>
  </si>
  <si>
    <t>1190</t>
  </si>
  <si>
    <t xml:space="preserve">Централізоване ведення бухгалтерського обліку </t>
  </si>
  <si>
    <t>1200</t>
  </si>
  <si>
    <t xml:space="preserve">Здійснення  централізованого господарського обслуговування </t>
  </si>
  <si>
    <t>1230</t>
  </si>
  <si>
    <t>Надання допомоги дітям-сиротам та дітям, позбавленим батьківського піклування, яким виповнюється 18 років</t>
  </si>
  <si>
    <t>2000</t>
  </si>
  <si>
    <t>2010</t>
  </si>
  <si>
    <t>0731</t>
  </si>
  <si>
    <t>Багатопрофільна стаціонарна медична допомога населенню</t>
  </si>
  <si>
    <t>2140</t>
  </si>
  <si>
    <t>0722</t>
  </si>
  <si>
    <t>Надання стоматологічної допомоги населенню</t>
  </si>
  <si>
    <t>3000</t>
  </si>
  <si>
    <t>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</si>
  <si>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</si>
  <si>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3011</t>
  </si>
  <si>
    <t>3020</t>
  </si>
  <si>
    <t>Надання пільг та субсидій населенню на придбання твердого та рідкого пічного побутового палива і скрапленого газу</t>
  </si>
  <si>
    <t>3021</t>
  </si>
  <si>
    <t>6000</t>
  </si>
  <si>
    <t>6010</t>
  </si>
  <si>
    <t>0610</t>
  </si>
  <si>
    <t>Забезпечення надійного та безперебійного функціонування житлово-експлуатаційного господарства</t>
  </si>
  <si>
    <t>6020</t>
  </si>
  <si>
    <t>Капітальний ремонт об'єктів житлового господарства</t>
  </si>
  <si>
    <t>6021</t>
  </si>
  <si>
    <t>6030</t>
  </si>
  <si>
    <t>6050</t>
  </si>
  <si>
    <t>Фінансова підтримка об'єктів житлово-комунального господарства</t>
  </si>
  <si>
    <t>Фінансова підтримка об'єктів комунального господарства</t>
  </si>
  <si>
    <t>Забезпечення функціонування теплових мереж</t>
  </si>
  <si>
    <t>Забезпечення функціонування водопровідно-каналізаційного господарства</t>
  </si>
  <si>
    <t>6051</t>
  </si>
  <si>
    <t>0620</t>
  </si>
  <si>
    <t>6052</t>
  </si>
  <si>
    <t>6060</t>
  </si>
  <si>
    <t>6090</t>
  </si>
  <si>
    <t>0511</t>
  </si>
  <si>
    <t>Забезпечення проведення берегоукріплювальних робіт</t>
  </si>
  <si>
    <t>4000</t>
  </si>
  <si>
    <t>4060</t>
  </si>
  <si>
    <t>0824</t>
  </si>
  <si>
    <t>4070</t>
  </si>
  <si>
    <t>4090</t>
  </si>
  <si>
    <t>0828</t>
  </si>
  <si>
    <t>4100</t>
  </si>
  <si>
    <t>4200</t>
  </si>
  <si>
    <t>0829</t>
  </si>
  <si>
    <t>5000</t>
  </si>
  <si>
    <t>5010</t>
  </si>
  <si>
    <t>Проведення спортивної роботи в регіоні</t>
  </si>
  <si>
    <t>5011</t>
  </si>
  <si>
    <t>0810</t>
  </si>
  <si>
    <t>Проведення навчально-тренувальних зборів і змагань з олімпійських видів спорту</t>
  </si>
  <si>
    <t>6300</t>
  </si>
  <si>
    <t>6310</t>
  </si>
  <si>
    <t>0490</t>
  </si>
  <si>
    <t>Реалізація заходів щодо інвестиційного розвитку території</t>
  </si>
  <si>
    <t>6320</t>
  </si>
  <si>
    <t>Надання допомоги у вирішенні житлових питань</t>
  </si>
  <si>
    <t>6324</t>
  </si>
  <si>
    <t>6430</t>
  </si>
  <si>
    <t>0443</t>
  </si>
  <si>
    <t>6600</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</si>
  <si>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</si>
  <si>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</si>
  <si>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3035</t>
  </si>
  <si>
    <t>1070</t>
  </si>
  <si>
    <t>Компенсаційні виплати на пільговий проїзд автомобільним транспортом окремим категоріям громадян</t>
  </si>
  <si>
    <t>Утримання та розвиток інфраструктури доріг</t>
  </si>
  <si>
    <t>6650</t>
  </si>
  <si>
    <t>0456</t>
  </si>
  <si>
    <t>7200</t>
  </si>
  <si>
    <t>7210</t>
  </si>
  <si>
    <t>Підтримка засобів масової інформації</t>
  </si>
  <si>
    <t>7211</t>
  </si>
  <si>
    <t>0830</t>
  </si>
  <si>
    <t>7212</t>
  </si>
  <si>
    <t>Сприяння діяльності тебелачення і радіомовлення</t>
  </si>
  <si>
    <t>Підтримка періодичних  видань (газет та журналів) </t>
  </si>
  <si>
    <t>7400</t>
  </si>
  <si>
    <t>7410</t>
  </si>
  <si>
    <t>0470</t>
  </si>
  <si>
    <t>Заходи з енергозбереження</t>
  </si>
  <si>
    <t>7500</t>
  </si>
  <si>
    <t>0411</t>
  </si>
  <si>
    <t>7810</t>
  </si>
  <si>
    <t>7800</t>
  </si>
  <si>
    <t>0320</t>
  </si>
  <si>
    <t>9100</t>
  </si>
  <si>
    <t>9140</t>
  </si>
  <si>
    <t>0540</t>
  </si>
  <si>
    <t>9180</t>
  </si>
  <si>
    <t>0133</t>
  </si>
  <si>
    <t>8000</t>
  </si>
  <si>
    <t>8010</t>
  </si>
  <si>
    <t>8120</t>
  </si>
  <si>
    <t>8600</t>
  </si>
  <si>
    <t>3031</t>
  </si>
  <si>
    <t>3012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</si>
  <si>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житлово-комунальні послуги</t>
  </si>
  <si>
    <t>3013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</si>
  <si>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</si>
  <si>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3023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</si>
  <si>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</si>
  <si>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</si>
  <si>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</si>
  <si>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3014</t>
  </si>
  <si>
    <t>3024</t>
  </si>
  <si>
    <t>3034</t>
  </si>
  <si>
    <t>Надання пільг окремим категоріям громадян з оплати послуг зв'язку</t>
  </si>
  <si>
    <t>3015</t>
  </si>
  <si>
    <t>Надання пільг багатодітним сім'ям на житлово-комунальні послуги</t>
  </si>
  <si>
    <t>3025</t>
  </si>
  <si>
    <t>Надання пільг багатодітним сім'ям на придбання твердого палива та скрапленого газу</t>
  </si>
  <si>
    <t>3040</t>
  </si>
  <si>
    <t>Надання допомоги сім'ям з дітьми, малозабезпеченим сім'ям, інвалідам з дитинства, дітям-інвалідам та тимчасової допомоги дітям</t>
  </si>
  <si>
    <t>3041</t>
  </si>
  <si>
    <t>1040</t>
  </si>
  <si>
    <t>Надання допомоги у зв`язку з вагітністю і пологами </t>
  </si>
  <si>
    <t>3042</t>
  </si>
  <si>
    <t>Надання допомоги на догляд за дитиною віком до 3 років </t>
  </si>
  <si>
    <t>3043</t>
  </si>
  <si>
    <t>Надання допомоги при народженні дитини </t>
  </si>
  <si>
    <t>3044</t>
  </si>
  <si>
    <t>Надання допомоги на дітей, над якими встановлено опіку чи піклування </t>
  </si>
  <si>
    <t>3045</t>
  </si>
  <si>
    <t>Надання допомоги на дітей одиноким матерям </t>
  </si>
  <si>
    <t>3046</t>
  </si>
  <si>
    <t>Надання тимчасової державної допомоги дітям </t>
  </si>
  <si>
    <t>3047</t>
  </si>
  <si>
    <t>Надання допомоги при усиновленні дитини </t>
  </si>
  <si>
    <t>3048</t>
  </si>
  <si>
    <t>Надання державної соціальної допомоги малозабезпеченим сім`ям </t>
  </si>
  <si>
    <t>3016</t>
  </si>
  <si>
    <t>Надання субсидій населенню для відшкодування витрат на оплату житлово-комунальних послуг</t>
  </si>
  <si>
    <t>3026</t>
  </si>
  <si>
    <t>Надання субсидій населенню для відшкодування витрат на придбання твердого та рідкого пічного побутового палива і скрапленого газу</t>
  </si>
  <si>
    <t>3017</t>
  </si>
  <si>
    <t>Компенсація населенню додаткових витрат на оплату послуг газопостачання, центрального опалення та централізованого постачання гарячої води</t>
  </si>
  <si>
    <t>3400</t>
  </si>
  <si>
    <t>3028</t>
  </si>
  <si>
    <t>3110</t>
  </si>
  <si>
    <t>3112</t>
  </si>
  <si>
    <t>Заклади і заходи з питань дітей та їх соціального захисту</t>
  </si>
  <si>
    <t>3132</t>
  </si>
  <si>
    <t>3130</t>
  </si>
  <si>
    <t>Здійснення соціальної роботи з вразливими категоріями населення</t>
  </si>
  <si>
    <t>Центри соціальних служб для сім'ї, дітей та молоді</t>
  </si>
  <si>
    <t>Програми і заходи центрів соціальних служб для сім'ї, дітей та молоді</t>
  </si>
  <si>
    <t>3131</t>
  </si>
  <si>
    <t>3140</t>
  </si>
  <si>
    <t>3134</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</si>
  <si>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</si>
  <si>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</si>
  <si>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</si>
  <si>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</si>
  <si>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</si>
  <si>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</si>
  <si>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</si>
  <si>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</si>
  <si>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</si>
  <si>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3190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</si>
  <si>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</si>
  <si>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3200</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</si>
  <si>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</si>
  <si>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</si>
  <si>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</si>
  <si>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3049</t>
  </si>
  <si>
    <t>Надання державної соціальної допомоги інвалідам з дитинства та дітям-інвалідам</t>
  </si>
  <si>
    <t>3080</t>
  </si>
  <si>
    <t>Надання допомоги на догляд за інвалідом I чи II групи внаслідок психічного розладу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</si>
  <si>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</si>
  <si>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Заходи державної політики з питань дітей та їх соціального захисту</t>
  </si>
  <si>
    <t>Заходи державної політики з питань сім'ї</t>
  </si>
  <si>
    <t>Будівництво та придбання житла для окремих категорій населення</t>
  </si>
  <si>
    <t>7470</t>
  </si>
  <si>
    <t>5012</t>
  </si>
  <si>
    <t>Проведення навчально-тренувальних зборів і змагань з неолімпійських видів спорту</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</si>
  <si>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</si>
  <si>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</si>
  <si>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</si>
  <si>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</si>
  <si>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</si>
  <si>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</si>
  <si>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</si>
  <si>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 xml:space="preserve">Капітальний ремонт житлового фонду </t>
  </si>
  <si>
    <t>Секретар ради</t>
  </si>
  <si>
    <t>О. Р. Боровська</t>
  </si>
  <si>
    <t>Розвиток дитячо-юнацького та резервного спорту</t>
  </si>
  <si>
    <t>5030</t>
  </si>
  <si>
    <t>5031</t>
  </si>
  <si>
    <t>8370</t>
  </si>
  <si>
    <t xml:space="preserve">Субвенція з місцевого бюджету державному бюджету на виконання програм соціально-економічного та культурного розвитку регіонів  </t>
  </si>
  <si>
    <t>3143</t>
  </si>
  <si>
    <t>Реалізація  державної політики у молодіжній сфері</t>
  </si>
  <si>
    <t>Інші заходи та заклади молодіжної політики</t>
  </si>
  <si>
    <t>Утримання та навчально-тренувальна робота комунальних дитячо-юнацьких спортивних шкіл </t>
  </si>
  <si>
    <t>5060</t>
  </si>
  <si>
    <t>Інші заходи з розвитку фізичної культури та спорту</t>
  </si>
  <si>
    <t>5061</t>
  </si>
  <si>
    <t>Забезпечення діяльності місцевих центрів фізичного здоров я населення "Спорт для всіх" та проведення фізкультурно-масових заходів серед населення регіону</t>
  </si>
  <si>
    <t xml:space="preserve">Зміни та доповнення до видатків  бюджету  міста  Чорноморська на   2017 рік  за програмною  класифікацію видатків та кредитування місцевих бюджетів </t>
  </si>
  <si>
    <t>до  рішення Чорноморської міської ради</t>
  </si>
  <si>
    <t>Охорона навколишнього природного середовища та ядерна безпека</t>
  </si>
  <si>
    <t>Охорона та раціональне використання природних ресурсів</t>
  </si>
  <si>
    <t>Охорона і раціональне використання земель</t>
  </si>
  <si>
    <t>7600</t>
  </si>
  <si>
    <t>7610</t>
  </si>
  <si>
    <t>7612</t>
  </si>
  <si>
    <t>Додаток № 2</t>
  </si>
  <si>
    <t>Капітальний ремонт житлового фонду об'єднань співвласників багатоквартирних будинків</t>
  </si>
  <si>
    <t>6022</t>
  </si>
  <si>
    <t>Проведення заходів із землеустрою</t>
  </si>
  <si>
    <t>0421</t>
  </si>
  <si>
    <t>7300</t>
  </si>
  <si>
    <t>7310</t>
  </si>
  <si>
    <t>Сільське і лісове господарство, рибне господарство та мисливство</t>
  </si>
  <si>
    <t>від      .06.2017р. №    -VII</t>
  </si>
  <si>
    <t>від  16.06.2017 р. №232 - VII</t>
  </si>
  <si>
    <t xml:space="preserve">Секретар ради </t>
  </si>
  <si>
    <t>О.Р.Боровська</t>
  </si>
  <si>
    <t>до рішення Чорноморської міської ради</t>
  </si>
</sst>
</file>

<file path=xl/styles.xml><?xml version="1.0" encoding="utf-8"?>
<styleSheet xmlns="http://schemas.openxmlformats.org/spreadsheetml/2006/main">
  <numFmts count="2">
    <numFmt numFmtId="164" formatCode="#,##0.000"/>
    <numFmt numFmtId="165" formatCode="#,##0.00000"/>
  </numFmts>
  <fonts count="28">
    <font>
      <sz val="11"/>
      <color theme="1"/>
      <name val="Calibri"/>
      <family val="2"/>
      <charset val="204"/>
      <scheme val="minor"/>
    </font>
    <font>
      <sz val="11"/>
      <color indexed="8"/>
      <name val="Calibri"/>
      <family val="2"/>
      <charset val="204"/>
    </font>
    <font>
      <sz val="11"/>
      <name val="Times New Roman"/>
      <family val="1"/>
      <charset val="204"/>
    </font>
    <font>
      <sz val="9"/>
      <color indexed="81"/>
      <name val="Tahoma"/>
      <family val="2"/>
      <charset val="204"/>
    </font>
    <font>
      <b/>
      <sz val="9"/>
      <color indexed="81"/>
      <name val="Tahoma"/>
      <family val="2"/>
      <charset val="204"/>
    </font>
    <font>
      <b/>
      <sz val="16"/>
      <name val="Times New Roman"/>
      <family val="1"/>
      <charset val="204"/>
    </font>
    <font>
      <sz val="7"/>
      <name val="Times New Roman"/>
      <family val="1"/>
      <charset val="204"/>
    </font>
    <font>
      <b/>
      <sz val="11"/>
      <name val="Times New Roman"/>
      <family val="1"/>
      <charset val="204"/>
    </font>
    <font>
      <i/>
      <sz val="11"/>
      <name val="Times New Roman"/>
      <family val="1"/>
      <charset val="204"/>
    </font>
    <font>
      <sz val="12"/>
      <name val="Times New Roman"/>
      <family val="1"/>
      <charset val="204"/>
    </font>
    <font>
      <b/>
      <sz val="11"/>
      <name val="Calibri"/>
      <family val="2"/>
      <charset val="204"/>
    </font>
    <font>
      <b/>
      <sz val="12"/>
      <name val="Times New Roman"/>
      <family val="1"/>
      <charset val="204"/>
    </font>
    <font>
      <i/>
      <sz val="12"/>
      <name val="Times New Roman"/>
      <family val="1"/>
      <charset val="204"/>
    </font>
    <font>
      <i/>
      <sz val="11"/>
      <name val="Calibri"/>
      <family val="2"/>
      <charset val="204"/>
    </font>
    <font>
      <sz val="12"/>
      <color indexed="8"/>
      <name val="Times New Roman"/>
      <family val="1"/>
      <charset val="204"/>
    </font>
    <font>
      <sz val="14"/>
      <name val="Times New Roman"/>
      <family val="1"/>
      <charset val="204"/>
    </font>
    <font>
      <sz val="10"/>
      <name val="Times New Roman"/>
      <family val="1"/>
    </font>
    <font>
      <sz val="11"/>
      <color theme="1"/>
      <name val="Calibri"/>
      <family val="2"/>
      <charset val="204"/>
      <scheme val="minor"/>
    </font>
    <font>
      <sz val="11"/>
      <name val="Calibri"/>
      <family val="2"/>
      <charset val="204"/>
      <scheme val="minor"/>
    </font>
    <font>
      <b/>
      <sz val="12"/>
      <name val="Calibri"/>
      <family val="2"/>
      <charset val="204"/>
      <scheme val="minor"/>
    </font>
    <font>
      <sz val="12"/>
      <name val="Calibri"/>
      <family val="2"/>
      <charset val="204"/>
      <scheme val="minor"/>
    </font>
    <font>
      <b/>
      <i/>
      <sz val="11"/>
      <name val="Times New Roman"/>
      <family val="1"/>
      <charset val="204"/>
    </font>
    <font>
      <b/>
      <i/>
      <sz val="11"/>
      <name val="Calibri"/>
      <family val="2"/>
      <charset val="204"/>
    </font>
    <font>
      <b/>
      <i/>
      <sz val="12"/>
      <name val="Times New Roman"/>
      <family val="1"/>
      <charset val="204"/>
    </font>
    <font>
      <i/>
      <sz val="12"/>
      <name val="Calibri"/>
      <family val="2"/>
      <charset val="204"/>
      <scheme val="minor"/>
    </font>
    <font>
      <i/>
      <sz val="11"/>
      <name val="Calibri"/>
      <family val="2"/>
      <charset val="204"/>
      <scheme val="minor"/>
    </font>
    <font>
      <sz val="10"/>
      <name val="Times New Roman"/>
      <family val="1"/>
      <charset val="204"/>
    </font>
    <font>
      <sz val="10"/>
      <name val="Calibri"/>
      <family val="2"/>
      <charset val="204"/>
      <scheme val="minor"/>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51"/>
        <bgColor indexed="64"/>
      </patternFill>
    </fill>
    <fill>
      <patternFill patternType="solid">
        <fgColor indexed="27"/>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7" fillId="0" borderId="0"/>
    <xf numFmtId="0" fontId="1" fillId="0" borderId="0"/>
    <xf numFmtId="0" fontId="1" fillId="0" borderId="0"/>
  </cellStyleXfs>
  <cellXfs count="197">
    <xf numFmtId="0" fontId="0" fillId="0" borderId="0" xfId="0"/>
    <xf numFmtId="0" fontId="2" fillId="0" borderId="1" xfId="0" applyFont="1" applyBorder="1" applyAlignment="1">
      <alignment vertical="top" wrapText="1"/>
    </xf>
    <xf numFmtId="0" fontId="2" fillId="0" borderId="1" xfId="0" applyFont="1" applyBorder="1" applyAlignment="1">
      <alignment horizontal="justify" vertical="top" wrapText="1"/>
    </xf>
    <xf numFmtId="0" fontId="2" fillId="2" borderId="1" xfId="1" applyFont="1" applyFill="1" applyBorder="1" applyAlignment="1">
      <alignment vertical="top" wrapText="1"/>
    </xf>
    <xf numFmtId="0" fontId="2" fillId="0" borderId="0" xfId="0" applyFont="1" applyAlignment="1">
      <alignment horizontal="center" vertical="center"/>
    </xf>
    <xf numFmtId="0" fontId="18" fillId="0" borderId="0" xfId="0" applyFont="1" applyAlignment="1">
      <alignment wrapText="1"/>
    </xf>
    <xf numFmtId="0" fontId="18" fillId="0" borderId="0" xfId="0" applyFont="1"/>
    <xf numFmtId="0" fontId="2" fillId="0" borderId="0" xfId="0" applyFont="1" applyAlignment="1">
      <alignment horizontal="center"/>
    </xf>
    <xf numFmtId="0" fontId="2" fillId="0" borderId="0" xfId="0" applyFont="1" applyAlignment="1">
      <alignment horizontal="left"/>
    </xf>
    <xf numFmtId="0" fontId="18" fillId="0" borderId="0" xfId="0" applyFont="1" applyAlignment="1">
      <alignment horizontal="right"/>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18" fillId="0" borderId="1" xfId="0" applyFont="1" applyBorder="1" applyAlignment="1">
      <alignment horizontal="center" vertical="center" wrapText="1"/>
    </xf>
    <xf numFmtId="49" fontId="7" fillId="0" borderId="1"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7" fillId="0" borderId="1" xfId="0" applyFont="1" applyBorder="1" applyAlignment="1">
      <alignment vertical="center" wrapText="1"/>
    </xf>
    <xf numFmtId="164" fontId="7" fillId="0" borderId="1" xfId="0" applyNumberFormat="1" applyFont="1" applyBorder="1" applyAlignment="1">
      <alignment horizontal="center"/>
    </xf>
    <xf numFmtId="164" fontId="7" fillId="3" borderId="1" xfId="0" applyNumberFormat="1" applyFont="1" applyFill="1" applyBorder="1" applyAlignment="1">
      <alignment horizontal="center"/>
    </xf>
    <xf numFmtId="49" fontId="2" fillId="2" borderId="1" xfId="0" applyNumberFormat="1" applyFont="1" applyFill="1" applyBorder="1" applyAlignment="1">
      <alignment horizontal="center" vertical="center"/>
    </xf>
    <xf numFmtId="0" fontId="2" fillId="2" borderId="1" xfId="3" applyFont="1" applyFill="1" applyBorder="1" applyAlignment="1">
      <alignment vertical="center" wrapText="1"/>
    </xf>
    <xf numFmtId="164" fontId="2" fillId="2" borderId="1" xfId="0" applyNumberFormat="1" applyFont="1" applyFill="1" applyBorder="1" applyAlignment="1">
      <alignment horizontal="center"/>
    </xf>
    <xf numFmtId="164" fontId="2" fillId="3" borderId="1" xfId="0" applyNumberFormat="1" applyFont="1" applyFill="1" applyBorder="1" applyAlignment="1">
      <alignment horizontal="center"/>
    </xf>
    <xf numFmtId="0" fontId="18" fillId="2" borderId="0" xfId="0" applyFont="1" applyFill="1"/>
    <xf numFmtId="0" fontId="2" fillId="2" borderId="1" xfId="0" applyFont="1" applyFill="1" applyBorder="1" applyAlignment="1">
      <alignment vertical="center" wrapText="1"/>
    </xf>
    <xf numFmtId="164" fontId="2" fillId="0" borderId="1" xfId="0" applyNumberFormat="1" applyFont="1" applyBorder="1" applyAlignment="1">
      <alignment horizontal="center"/>
    </xf>
    <xf numFmtId="0" fontId="8" fillId="2" borderId="1" xfId="0" applyFont="1" applyFill="1" applyBorder="1" applyAlignment="1">
      <alignment vertical="center" wrapText="1"/>
    </xf>
    <xf numFmtId="164" fontId="8" fillId="2" borderId="1" xfId="0" applyNumberFormat="1" applyFont="1" applyFill="1" applyBorder="1" applyAlignment="1">
      <alignment horizontal="center"/>
    </xf>
    <xf numFmtId="0" fontId="9" fillId="2" borderId="1" xfId="0" applyFont="1" applyFill="1" applyBorder="1" applyAlignment="1">
      <alignment wrapText="1"/>
    </xf>
    <xf numFmtId="0" fontId="7" fillId="0" borderId="1" xfId="3" applyFont="1" applyBorder="1" applyAlignment="1">
      <alignment vertical="center" wrapText="1"/>
    </xf>
    <xf numFmtId="0" fontId="10" fillId="0" borderId="0" xfId="0" applyFont="1"/>
    <xf numFmtId="164" fontId="2" fillId="0" borderId="1" xfId="3" applyNumberFormat="1" applyFont="1" applyBorder="1" applyAlignment="1">
      <alignment horizontal="center" vertical="center"/>
    </xf>
    <xf numFmtId="164" fontId="7" fillId="2" borderId="1" xfId="0" applyNumberFormat="1" applyFont="1" applyFill="1" applyBorder="1" applyAlignment="1">
      <alignment horizontal="center"/>
    </xf>
    <xf numFmtId="164" fontId="7" fillId="3" borderId="1" xfId="3" applyNumberFormat="1" applyFont="1" applyFill="1" applyBorder="1" applyAlignment="1">
      <alignment horizontal="center"/>
    </xf>
    <xf numFmtId="164" fontId="18" fillId="0" borderId="0" xfId="0" applyNumberFormat="1" applyFont="1"/>
    <xf numFmtId="0" fontId="11" fillId="2" borderId="1" xfId="0" applyFont="1" applyFill="1" applyBorder="1" applyAlignment="1">
      <alignment wrapText="1"/>
    </xf>
    <xf numFmtId="164" fontId="10" fillId="0" borderId="0" xfId="0" applyNumberFormat="1" applyFont="1"/>
    <xf numFmtId="0" fontId="12" fillId="0" borderId="1" xfId="0" applyFont="1" applyBorder="1" applyAlignment="1">
      <alignment wrapText="1"/>
    </xf>
    <xf numFmtId="0" fontId="8" fillId="0" borderId="1" xfId="0" applyFont="1" applyBorder="1" applyAlignment="1">
      <alignment wrapText="1"/>
    </xf>
    <xf numFmtId="49" fontId="7" fillId="2" borderId="1" xfId="0" applyNumberFormat="1" applyFont="1" applyFill="1" applyBorder="1" applyAlignment="1">
      <alignment horizontal="center" vertical="center"/>
    </xf>
    <xf numFmtId="0" fontId="11" fillId="0" borderId="1" xfId="0" applyFont="1" applyBorder="1" applyAlignment="1">
      <alignment wrapText="1"/>
    </xf>
    <xf numFmtId="0" fontId="12" fillId="2" borderId="1" xfId="0" applyFont="1" applyFill="1" applyBorder="1" applyAlignment="1">
      <alignment wrapText="1"/>
    </xf>
    <xf numFmtId="0" fontId="12" fillId="0" borderId="1" xfId="0" applyFont="1" applyBorder="1" applyAlignment="1">
      <alignment vertical="top" wrapText="1"/>
    </xf>
    <xf numFmtId="49" fontId="8" fillId="0" borderId="1" xfId="0" applyNumberFormat="1" applyFont="1" applyBorder="1" applyAlignment="1">
      <alignment horizontal="center" vertical="center"/>
    </xf>
    <xf numFmtId="0" fontId="8" fillId="0" borderId="1" xfId="2" applyFont="1" applyBorder="1" applyAlignment="1">
      <alignment vertical="center" wrapText="1"/>
    </xf>
    <xf numFmtId="164" fontId="8" fillId="0" borderId="1" xfId="0" applyNumberFormat="1" applyFont="1" applyBorder="1" applyAlignment="1">
      <alignment horizontal="center"/>
    </xf>
    <xf numFmtId="0" fontId="13" fillId="0" borderId="0" xfId="0" applyFont="1"/>
    <xf numFmtId="0" fontId="13" fillId="2" borderId="0" xfId="0" applyFont="1" applyFill="1"/>
    <xf numFmtId="164" fontId="2" fillId="3" borderId="1" xfId="3" applyNumberFormat="1" applyFont="1" applyFill="1" applyBorder="1" applyAlignment="1">
      <alignment horizontal="center"/>
    </xf>
    <xf numFmtId="0" fontId="13" fillId="4" borderId="0" xfId="0" applyFont="1" applyFill="1"/>
    <xf numFmtId="164" fontId="8" fillId="0" borderId="1" xfId="0" applyNumberFormat="1" applyFont="1" applyBorder="1" applyAlignment="1">
      <alignment horizontal="center" vertical="center"/>
    </xf>
    <xf numFmtId="164" fontId="8" fillId="0" borderId="1" xfId="3" applyNumberFormat="1" applyFont="1" applyBorder="1" applyAlignment="1">
      <alignment horizontal="center" vertical="center"/>
    </xf>
    <xf numFmtId="0" fontId="9" fillId="0" borderId="1" xfId="0" applyFont="1" applyBorder="1" applyAlignment="1">
      <alignment wrapText="1"/>
    </xf>
    <xf numFmtId="164" fontId="2" fillId="0" borderId="1" xfId="0" applyNumberFormat="1" applyFont="1" applyBorder="1" applyAlignment="1">
      <alignment horizontal="center" vertical="center"/>
    </xf>
    <xf numFmtId="0" fontId="2" fillId="0" borderId="1" xfId="0" applyFont="1" applyBorder="1" applyAlignment="1">
      <alignment vertical="center" wrapText="1"/>
    </xf>
    <xf numFmtId="0" fontId="7" fillId="0" borderId="1" xfId="2" applyFont="1" applyBorder="1" applyAlignment="1">
      <alignment vertical="center" wrapText="1"/>
    </xf>
    <xf numFmtId="0" fontId="2" fillId="0" borderId="1" xfId="2" applyFont="1" applyBorder="1" applyAlignment="1">
      <alignment vertical="center" wrapText="1"/>
    </xf>
    <xf numFmtId="0" fontId="8" fillId="0" borderId="1" xfId="0" applyFont="1" applyBorder="1" applyAlignment="1">
      <alignment vertical="center" wrapText="1"/>
    </xf>
    <xf numFmtId="164" fontId="8" fillId="2" borderId="1" xfId="3" applyNumberFormat="1" applyFont="1" applyFill="1" applyBorder="1" applyAlignment="1">
      <alignment horizontal="center" vertical="center"/>
    </xf>
    <xf numFmtId="0" fontId="2" fillId="0" borderId="1" xfId="3" applyFont="1" applyBorder="1" applyAlignment="1">
      <alignment vertical="center" wrapText="1"/>
    </xf>
    <xf numFmtId="164" fontId="2" fillId="0" borderId="1" xfId="3" applyNumberFormat="1" applyFont="1" applyBorder="1" applyAlignment="1">
      <alignment horizontal="center"/>
    </xf>
    <xf numFmtId="164" fontId="7" fillId="0" borderId="0" xfId="0" applyNumberFormat="1" applyFont="1" applyBorder="1" applyAlignment="1">
      <alignment horizontal="center"/>
    </xf>
    <xf numFmtId="0" fontId="8" fillId="0" borderId="1" xfId="3" applyFont="1" applyBorder="1" applyAlignment="1">
      <alignment vertical="center" wrapText="1"/>
    </xf>
    <xf numFmtId="0" fontId="7" fillId="2" borderId="1" xfId="0" applyFont="1" applyFill="1" applyBorder="1" applyAlignment="1">
      <alignment vertical="center" wrapText="1"/>
    </xf>
    <xf numFmtId="49" fontId="2" fillId="5" borderId="1" xfId="0" applyNumberFormat="1" applyFont="1" applyFill="1" applyBorder="1" applyAlignment="1">
      <alignment horizontal="center" vertical="center"/>
    </xf>
    <xf numFmtId="0" fontId="7" fillId="5" borderId="1" xfId="0" applyFont="1" applyFill="1" applyBorder="1" applyAlignment="1">
      <alignment vertical="center" wrapText="1"/>
    </xf>
    <xf numFmtId="165" fontId="18" fillId="0" borderId="0" xfId="0" applyNumberFormat="1" applyFont="1"/>
    <xf numFmtId="0" fontId="7" fillId="0" borderId="0" xfId="0" applyFont="1" applyAlignment="1">
      <alignment horizontal="left" wrapText="1"/>
    </xf>
    <xf numFmtId="0" fontId="2" fillId="0" borderId="0" xfId="0" applyFont="1"/>
    <xf numFmtId="0" fontId="7" fillId="0" borderId="0" xfId="0" applyFont="1" applyAlignment="1">
      <alignment horizontal="left"/>
    </xf>
    <xf numFmtId="0" fontId="10" fillId="0" borderId="0" xfId="0" applyFont="1" applyAlignment="1">
      <alignment wrapText="1"/>
    </xf>
    <xf numFmtId="165" fontId="10" fillId="0" borderId="0" xfId="0" applyNumberFormat="1" applyFont="1"/>
    <xf numFmtId="0" fontId="18" fillId="0" borderId="1" xfId="0" applyFont="1" applyBorder="1" applyAlignment="1">
      <alignment horizontal="center" vertical="center" wrapText="1"/>
    </xf>
    <xf numFmtId="165" fontId="2" fillId="0" borderId="1" xfId="0" applyNumberFormat="1" applyFont="1" applyBorder="1" applyAlignment="1">
      <alignment horizontal="center"/>
    </xf>
    <xf numFmtId="165" fontId="2" fillId="3" borderId="1" xfId="0" applyNumberFormat="1" applyFont="1" applyFill="1" applyBorder="1" applyAlignment="1">
      <alignment horizontal="center"/>
    </xf>
    <xf numFmtId="165" fontId="7" fillId="0" borderId="1" xfId="0" applyNumberFormat="1" applyFont="1" applyBorder="1" applyAlignment="1">
      <alignment horizontal="center"/>
    </xf>
    <xf numFmtId="165" fontId="7" fillId="3" borderId="1" xfId="0" applyNumberFormat="1" applyFont="1" applyFill="1" applyBorder="1" applyAlignment="1">
      <alignment horizontal="center"/>
    </xf>
    <xf numFmtId="0" fontId="14" fillId="0" borderId="1" xfId="0" applyFont="1" applyBorder="1" applyAlignment="1">
      <alignment vertical="center" wrapText="1"/>
    </xf>
    <xf numFmtId="49" fontId="8" fillId="0" borderId="1" xfId="0" applyNumberFormat="1" applyFont="1" applyBorder="1" applyAlignment="1">
      <alignment horizontal="center"/>
    </xf>
    <xf numFmtId="49" fontId="2" fillId="0" borderId="1" xfId="0" applyNumberFormat="1" applyFont="1" applyBorder="1" applyAlignment="1">
      <alignment horizontal="center"/>
    </xf>
    <xf numFmtId="0" fontId="2" fillId="0" borderId="1" xfId="2" applyFont="1" applyBorder="1" applyAlignment="1">
      <alignment horizontal="left" wrapText="1"/>
    </xf>
    <xf numFmtId="49" fontId="8" fillId="6" borderId="1" xfId="0" applyNumberFormat="1" applyFont="1" applyFill="1" applyBorder="1" applyAlignment="1">
      <alignment horizontal="center" vertical="center"/>
    </xf>
    <xf numFmtId="0" fontId="8" fillId="6" borderId="1" xfId="3" applyFont="1" applyFill="1" applyBorder="1" applyAlignment="1">
      <alignment vertical="center" wrapText="1"/>
    </xf>
    <xf numFmtId="0" fontId="9" fillId="0" borderId="0" xfId="0" applyFont="1" applyAlignment="1">
      <alignment horizontal="center" vertical="center"/>
    </xf>
    <xf numFmtId="0" fontId="9" fillId="0" borderId="0" xfId="0" applyFont="1" applyAlignment="1">
      <alignment wrapText="1"/>
    </xf>
    <xf numFmtId="165" fontId="9" fillId="0" borderId="0" xfId="0" applyNumberFormat="1" applyFont="1"/>
    <xf numFmtId="0" fontId="9" fillId="0" borderId="0" xfId="0" applyFont="1"/>
    <xf numFmtId="0" fontId="15" fillId="0" borderId="0" xfId="0" applyFont="1" applyAlignment="1">
      <alignment horizontal="center" vertical="center"/>
    </xf>
    <xf numFmtId="0" fontId="15" fillId="0" borderId="0" xfId="0" applyFont="1" applyAlignment="1">
      <alignment wrapText="1"/>
    </xf>
    <xf numFmtId="165" fontId="15" fillId="0" borderId="0" xfId="0" applyNumberFormat="1" applyFont="1"/>
    <xf numFmtId="0" fontId="15" fillId="0" borderId="0" xfId="0" applyFont="1"/>
    <xf numFmtId="0" fontId="9" fillId="0" borderId="1" xfId="0" applyFont="1" applyBorder="1" applyAlignment="1">
      <alignment vertical="center" wrapText="1"/>
    </xf>
    <xf numFmtId="49" fontId="11" fillId="0" borderId="1" xfId="0" applyNumberFormat="1" applyFont="1" applyBorder="1" applyAlignment="1">
      <alignment horizontal="center" vertical="center"/>
    </xf>
    <xf numFmtId="0" fontId="19" fillId="0" borderId="0" xfId="0" applyFont="1"/>
    <xf numFmtId="0" fontId="11" fillId="0" borderId="1" xfId="0" applyFont="1" applyBorder="1" applyAlignment="1">
      <alignment vertical="center" wrapText="1"/>
    </xf>
    <xf numFmtId="164" fontId="7" fillId="0" borderId="1" xfId="3" applyNumberFormat="1" applyFont="1" applyBorder="1" applyAlignment="1">
      <alignment horizontal="center" vertical="center"/>
    </xf>
    <xf numFmtId="165" fontId="7" fillId="0" borderId="1" xfId="3" applyNumberFormat="1" applyFont="1" applyBorder="1" applyAlignment="1">
      <alignment horizontal="center"/>
    </xf>
    <xf numFmtId="165" fontId="2" fillId="0" borderId="1" xfId="3" applyNumberFormat="1" applyFont="1" applyBorder="1" applyAlignment="1">
      <alignment horizontal="center"/>
    </xf>
    <xf numFmtId="49" fontId="9" fillId="0" borderId="1" xfId="0" applyNumberFormat="1" applyFont="1" applyBorder="1" applyAlignment="1">
      <alignment horizontal="center" vertical="center"/>
    </xf>
    <xf numFmtId="0" fontId="20" fillId="0" borderId="0" xfId="0" applyFont="1"/>
    <xf numFmtId="49" fontId="9" fillId="2" borderId="1" xfId="0" applyNumberFormat="1" applyFont="1" applyFill="1" applyBorder="1" applyAlignment="1">
      <alignment horizontal="center" vertical="center"/>
    </xf>
    <xf numFmtId="0" fontId="9" fillId="2" borderId="1" xfId="3" applyFont="1" applyFill="1" applyBorder="1" applyAlignment="1">
      <alignment vertical="center" wrapText="1"/>
    </xf>
    <xf numFmtId="0" fontId="9" fillId="2" borderId="1" xfId="1" applyFont="1" applyFill="1" applyBorder="1" applyAlignment="1">
      <alignment vertical="top" wrapText="1"/>
    </xf>
    <xf numFmtId="164" fontId="9" fillId="0" borderId="1" xfId="0" applyNumberFormat="1" applyFont="1" applyBorder="1" applyAlignment="1">
      <alignment horizontal="center" wrapText="1"/>
    </xf>
    <xf numFmtId="164" fontId="11" fillId="0" borderId="1" xfId="0" applyNumberFormat="1" applyFont="1" applyBorder="1" applyAlignment="1">
      <alignment horizontal="center" wrapText="1"/>
    </xf>
    <xf numFmtId="164" fontId="21" fillId="0" borderId="1" xfId="0" applyNumberFormat="1" applyFont="1" applyBorder="1" applyAlignment="1">
      <alignment horizontal="center"/>
    </xf>
    <xf numFmtId="164" fontId="21" fillId="3" borderId="1" xfId="3" applyNumberFormat="1" applyFont="1" applyFill="1" applyBorder="1" applyAlignment="1">
      <alignment horizontal="center"/>
    </xf>
    <xf numFmtId="0" fontId="22" fillId="0" borderId="0" xfId="0" applyFont="1"/>
    <xf numFmtId="164" fontId="22" fillId="0" borderId="0" xfId="0" applyNumberFormat="1" applyFont="1"/>
    <xf numFmtId="164" fontId="21" fillId="3" borderId="1" xfId="0" applyNumberFormat="1" applyFont="1" applyFill="1" applyBorder="1" applyAlignment="1">
      <alignment horizontal="center"/>
    </xf>
    <xf numFmtId="164" fontId="11" fillId="0" borderId="1" xfId="0" applyNumberFormat="1" applyFont="1" applyBorder="1" applyAlignment="1">
      <alignment horizontal="center"/>
    </xf>
    <xf numFmtId="164" fontId="11" fillId="3" borderId="1" xfId="0" applyNumberFormat="1" applyFont="1" applyFill="1" applyBorder="1" applyAlignment="1">
      <alignment horizontal="center"/>
    </xf>
    <xf numFmtId="164" fontId="9" fillId="0" borderId="1" xfId="0" applyNumberFormat="1" applyFont="1" applyBorder="1" applyAlignment="1">
      <alignment horizontal="center"/>
    </xf>
    <xf numFmtId="164" fontId="9" fillId="3" borderId="1" xfId="0" applyNumberFormat="1" applyFont="1" applyFill="1" applyBorder="1" applyAlignment="1">
      <alignment horizontal="center"/>
    </xf>
    <xf numFmtId="164" fontId="23" fillId="0" borderId="1" xfId="0" applyNumberFormat="1" applyFont="1" applyBorder="1" applyAlignment="1">
      <alignment horizontal="center"/>
    </xf>
    <xf numFmtId="0" fontId="24" fillId="0" borderId="0" xfId="0" applyFont="1"/>
    <xf numFmtId="0" fontId="11" fillId="0" borderId="1" xfId="2" applyFont="1" applyBorder="1" applyAlignment="1">
      <alignment vertical="center" wrapText="1"/>
    </xf>
    <xf numFmtId="0" fontId="9" fillId="0" borderId="1" xfId="2" applyFont="1" applyBorder="1" applyAlignment="1">
      <alignment vertical="center" wrapText="1"/>
    </xf>
    <xf numFmtId="49" fontId="12" fillId="0" borderId="1" xfId="0" applyNumberFormat="1" applyFont="1" applyBorder="1" applyAlignment="1">
      <alignment horizontal="center" vertical="center"/>
    </xf>
    <xf numFmtId="164" fontId="12" fillId="0" borderId="1" xfId="0" applyNumberFormat="1" applyFont="1" applyBorder="1" applyAlignment="1">
      <alignment horizontal="center"/>
    </xf>
    <xf numFmtId="164" fontId="12" fillId="3" borderId="1" xfId="0" applyNumberFormat="1" applyFont="1" applyFill="1" applyBorder="1" applyAlignment="1">
      <alignment horizontal="center"/>
    </xf>
    <xf numFmtId="164" fontId="11" fillId="0" borderId="1" xfId="3" applyNumberFormat="1" applyFont="1" applyBorder="1" applyAlignment="1">
      <alignment horizontal="center"/>
    </xf>
    <xf numFmtId="164" fontId="9" fillId="0" borderId="1" xfId="3" applyNumberFormat="1" applyFont="1" applyBorder="1" applyAlignment="1">
      <alignment horizontal="center"/>
    </xf>
    <xf numFmtId="0" fontId="2" fillId="2" borderId="1" xfId="0" applyFont="1" applyFill="1" applyBorder="1" applyAlignment="1">
      <alignment wrapText="1"/>
    </xf>
    <xf numFmtId="0" fontId="25" fillId="0" borderId="0" xfId="0" applyFont="1"/>
    <xf numFmtId="164" fontId="25" fillId="0" borderId="0" xfId="0" applyNumberFormat="1" applyFont="1"/>
    <xf numFmtId="49" fontId="26" fillId="0" borderId="1" xfId="0" applyNumberFormat="1" applyFont="1" applyBorder="1" applyAlignment="1">
      <alignment horizontal="center" vertical="center"/>
    </xf>
    <xf numFmtId="0" fontId="26" fillId="0" borderId="1" xfId="0" applyFont="1" applyBorder="1" applyAlignment="1">
      <alignment wrapText="1"/>
    </xf>
    <xf numFmtId="0" fontId="27" fillId="0" borderId="0" xfId="0" applyFont="1"/>
    <xf numFmtId="164" fontId="27" fillId="0" borderId="0" xfId="0" applyNumberFormat="1" applyFont="1"/>
    <xf numFmtId="164" fontId="20" fillId="0" borderId="0" xfId="0" applyNumberFormat="1" applyFont="1"/>
    <xf numFmtId="165" fontId="8" fillId="2" borderId="1" xfId="0" applyNumberFormat="1" applyFont="1" applyFill="1" applyBorder="1" applyAlignment="1">
      <alignment horizontal="center"/>
    </xf>
    <xf numFmtId="165" fontId="12" fillId="0" borderId="1" xfId="0" applyNumberFormat="1" applyFont="1" applyBorder="1" applyAlignment="1">
      <alignment horizontal="center" wrapText="1"/>
    </xf>
    <xf numFmtId="165" fontId="8" fillId="3" borderId="1" xfId="3" applyNumberFormat="1" applyFont="1" applyFill="1" applyBorder="1" applyAlignment="1">
      <alignment horizontal="center"/>
    </xf>
    <xf numFmtId="165" fontId="26" fillId="2" borderId="1" xfId="0" applyNumberFormat="1" applyFont="1" applyFill="1" applyBorder="1" applyAlignment="1">
      <alignment horizontal="center"/>
    </xf>
    <xf numFmtId="165" fontId="26" fillId="0" borderId="1" xfId="0" applyNumberFormat="1" applyFont="1" applyBorder="1" applyAlignment="1">
      <alignment horizontal="center" wrapText="1"/>
    </xf>
    <xf numFmtId="165" fontId="26" fillId="3" borderId="1" xfId="3" applyNumberFormat="1" applyFont="1" applyFill="1" applyBorder="1" applyAlignment="1">
      <alignment horizontal="center"/>
    </xf>
    <xf numFmtId="165" fontId="9" fillId="2" borderId="1" xfId="0" applyNumberFormat="1" applyFont="1" applyFill="1" applyBorder="1" applyAlignment="1">
      <alignment horizontal="center"/>
    </xf>
    <xf numFmtId="165" fontId="9" fillId="0" borderId="1" xfId="0" applyNumberFormat="1" applyFont="1" applyBorder="1" applyAlignment="1">
      <alignment horizontal="center" wrapText="1"/>
    </xf>
    <xf numFmtId="165" fontId="9" fillId="3" borderId="1" xfId="3" applyNumberFormat="1" applyFont="1" applyFill="1" applyBorder="1" applyAlignment="1">
      <alignment horizontal="center"/>
    </xf>
    <xf numFmtId="165" fontId="7" fillId="3" borderId="1" xfId="3" applyNumberFormat="1" applyFont="1" applyFill="1" applyBorder="1" applyAlignment="1">
      <alignment horizontal="center"/>
    </xf>
    <xf numFmtId="165" fontId="7" fillId="2" borderId="1" xfId="0" applyNumberFormat="1" applyFont="1" applyFill="1" applyBorder="1" applyAlignment="1">
      <alignment horizontal="center"/>
    </xf>
    <xf numFmtId="165" fontId="11" fillId="0" borderId="1" xfId="0" applyNumberFormat="1" applyFont="1" applyBorder="1" applyAlignment="1">
      <alignment horizontal="center" wrapText="1"/>
    </xf>
    <xf numFmtId="0" fontId="18" fillId="6" borderId="0" xfId="0" applyFont="1" applyFill="1"/>
    <xf numFmtId="0" fontId="18" fillId="6" borderId="1" xfId="0" applyFont="1" applyFill="1" applyBorder="1" applyAlignment="1">
      <alignment horizontal="center" vertical="center" wrapText="1"/>
    </xf>
    <xf numFmtId="164" fontId="7" fillId="6" borderId="1" xfId="0" applyNumberFormat="1" applyFont="1" applyFill="1" applyBorder="1" applyAlignment="1">
      <alignment horizontal="center"/>
    </xf>
    <xf numFmtId="164" fontId="2" fillId="6" borderId="1" xfId="0" applyNumberFormat="1" applyFont="1" applyFill="1" applyBorder="1" applyAlignment="1">
      <alignment horizontal="center"/>
    </xf>
    <xf numFmtId="164" fontId="8" fillId="6" borderId="1" xfId="0" applyNumberFormat="1" applyFont="1" applyFill="1" applyBorder="1" applyAlignment="1">
      <alignment horizontal="center"/>
    </xf>
    <xf numFmtId="164" fontId="2" fillId="6" borderId="1" xfId="3" applyNumberFormat="1" applyFont="1" applyFill="1" applyBorder="1" applyAlignment="1">
      <alignment horizontal="center" vertical="center"/>
    </xf>
    <xf numFmtId="164" fontId="8" fillId="6" borderId="1" xfId="0" applyNumberFormat="1" applyFont="1" applyFill="1" applyBorder="1" applyAlignment="1">
      <alignment horizontal="center" vertical="center"/>
    </xf>
    <xf numFmtId="164" fontId="8" fillId="6" borderId="1" xfId="3" applyNumberFormat="1" applyFont="1" applyFill="1" applyBorder="1" applyAlignment="1">
      <alignment horizontal="center" vertical="center"/>
    </xf>
    <xf numFmtId="164" fontId="2" fillId="6" borderId="1" xfId="0" applyNumberFormat="1" applyFont="1" applyFill="1" applyBorder="1" applyAlignment="1">
      <alignment horizontal="center" vertical="center"/>
    </xf>
    <xf numFmtId="164" fontId="2" fillId="6" borderId="1" xfId="3" applyNumberFormat="1" applyFont="1" applyFill="1" applyBorder="1" applyAlignment="1">
      <alignment horizontal="center"/>
    </xf>
    <xf numFmtId="164" fontId="7" fillId="6" borderId="1" xfId="3" applyNumberFormat="1" applyFont="1" applyFill="1" applyBorder="1" applyAlignment="1">
      <alignment horizontal="center"/>
    </xf>
    <xf numFmtId="165" fontId="9" fillId="6" borderId="0" xfId="0" applyNumberFormat="1" applyFont="1" applyFill="1"/>
    <xf numFmtId="0" fontId="2" fillId="6" borderId="0" xfId="0" applyFont="1" applyFill="1"/>
    <xf numFmtId="165" fontId="18" fillId="6" borderId="0" xfId="0" applyNumberFormat="1" applyFont="1" applyFill="1"/>
    <xf numFmtId="165" fontId="10" fillId="6" borderId="0" xfId="0" applyNumberFormat="1" applyFont="1" applyFill="1"/>
    <xf numFmtId="0" fontId="2" fillId="6" borderId="0" xfId="0" applyFont="1" applyFill="1" applyAlignment="1">
      <alignment horizontal="center" vertical="center"/>
    </xf>
    <xf numFmtId="0" fontId="18" fillId="6" borderId="0" xfId="0" applyFont="1" applyFill="1" applyAlignment="1">
      <alignment wrapText="1"/>
    </xf>
    <xf numFmtId="0" fontId="2" fillId="6" borderId="0" xfId="0" applyFont="1" applyFill="1" applyAlignment="1">
      <alignment horizontal="center"/>
    </xf>
    <xf numFmtId="0" fontId="16" fillId="6" borderId="0" xfId="0" applyFont="1" applyFill="1" applyAlignment="1">
      <alignment horizontal="center"/>
    </xf>
    <xf numFmtId="0" fontId="0" fillId="6" borderId="0" xfId="0" applyFill="1"/>
    <xf numFmtId="0" fontId="2" fillId="6" borderId="0" xfId="0" applyFont="1" applyFill="1" applyAlignment="1">
      <alignment horizontal="left"/>
    </xf>
    <xf numFmtId="165" fontId="7" fillId="6" borderId="1" xfId="3" applyNumberFormat="1" applyFont="1" applyFill="1" applyBorder="1" applyAlignment="1">
      <alignment horizontal="center"/>
    </xf>
    <xf numFmtId="165" fontId="2" fillId="6" borderId="1" xfId="3" applyNumberFormat="1" applyFont="1" applyFill="1" applyBorder="1" applyAlignment="1">
      <alignment horizontal="center"/>
    </xf>
    <xf numFmtId="165" fontId="7" fillId="6" borderId="1" xfId="0" applyNumberFormat="1" applyFont="1" applyFill="1" applyBorder="1" applyAlignment="1">
      <alignment horizontal="center"/>
    </xf>
    <xf numFmtId="164" fontId="7" fillId="6" borderId="1" xfId="3" applyNumberFormat="1" applyFont="1" applyFill="1" applyBorder="1" applyAlignment="1">
      <alignment horizontal="center" vertical="center"/>
    </xf>
    <xf numFmtId="0" fontId="7" fillId="6" borderId="0" xfId="0" applyFont="1" applyFill="1" applyAlignment="1">
      <alignment horizontal="left"/>
    </xf>
    <xf numFmtId="0" fontId="18" fillId="6" borderId="0" xfId="0" applyFont="1" applyFill="1" applyAlignment="1">
      <alignment horizontal="right"/>
    </xf>
    <xf numFmtId="0" fontId="2"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164" fontId="18" fillId="6" borderId="1" xfId="0" applyNumberFormat="1" applyFont="1" applyFill="1" applyBorder="1"/>
    <xf numFmtId="164" fontId="11" fillId="6" borderId="1" xfId="3" applyNumberFormat="1" applyFont="1" applyFill="1" applyBorder="1" applyAlignment="1">
      <alignment horizontal="center"/>
    </xf>
    <xf numFmtId="164" fontId="9" fillId="6" borderId="1" xfId="3" applyNumberFormat="1" applyFont="1" applyFill="1" applyBorder="1" applyAlignment="1">
      <alignment horizontal="center"/>
    </xf>
    <xf numFmtId="164" fontId="18" fillId="6" borderId="0" xfId="0" applyNumberFormat="1" applyFont="1" applyFill="1"/>
    <xf numFmtId="49" fontId="2" fillId="6" borderId="1" xfId="0" applyNumberFormat="1" applyFont="1" applyFill="1" applyBorder="1" applyAlignment="1">
      <alignment horizontal="center" vertical="center"/>
    </xf>
    <xf numFmtId="0" fontId="7" fillId="6" borderId="1" xfId="0" applyFont="1" applyFill="1" applyBorder="1" applyAlignment="1">
      <alignment vertical="center" wrapText="1"/>
    </xf>
    <xf numFmtId="0" fontId="16" fillId="6" borderId="0" xfId="0" applyFont="1" applyFill="1" applyAlignment="1">
      <alignment horizontal="left"/>
    </xf>
    <xf numFmtId="0" fontId="5" fillId="0" borderId="0" xfId="0" applyFont="1" applyAlignment="1">
      <alignment horizontal="center" wrapText="1"/>
    </xf>
    <xf numFmtId="0" fontId="18" fillId="0" borderId="0" xfId="0" applyFont="1" applyAlignment="1">
      <alignment horizontal="center"/>
    </xf>
    <xf numFmtId="0" fontId="2"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26" fillId="0" borderId="2" xfId="0" applyFont="1" applyBorder="1" applyAlignment="1">
      <alignment horizontal="left" wrapText="1"/>
    </xf>
    <xf numFmtId="0" fontId="26" fillId="0" borderId="3" xfId="0" applyFont="1" applyBorder="1" applyAlignment="1">
      <alignment horizontal="left" wrapText="1"/>
    </xf>
    <xf numFmtId="165" fontId="26" fillId="0" borderId="2" xfId="0" applyNumberFormat="1" applyFont="1" applyBorder="1" applyAlignment="1">
      <alignment horizontal="center" wrapText="1"/>
    </xf>
    <xf numFmtId="165" fontId="26" fillId="0" borderId="3" xfId="0" applyNumberFormat="1" applyFont="1" applyBorder="1" applyAlignment="1">
      <alignment horizontal="center" wrapText="1"/>
    </xf>
    <xf numFmtId="165" fontId="26" fillId="2" borderId="2" xfId="0" applyNumberFormat="1" applyFont="1" applyFill="1" applyBorder="1" applyAlignment="1">
      <alignment horizontal="center"/>
    </xf>
    <xf numFmtId="165" fontId="26" fillId="2" borderId="3" xfId="0" applyNumberFormat="1" applyFont="1" applyFill="1" applyBorder="1" applyAlignment="1">
      <alignment horizontal="center"/>
    </xf>
    <xf numFmtId="165" fontId="26" fillId="3" borderId="2" xfId="3" applyNumberFormat="1" applyFont="1" applyFill="1" applyBorder="1" applyAlignment="1">
      <alignment horizontal="center"/>
    </xf>
    <xf numFmtId="165" fontId="26" fillId="3" borderId="3" xfId="3" applyNumberFormat="1" applyFont="1" applyFill="1" applyBorder="1" applyAlignment="1">
      <alignment horizontal="center"/>
    </xf>
    <xf numFmtId="49" fontId="26" fillId="0" borderId="2" xfId="0" applyNumberFormat="1" applyFont="1" applyBorder="1" applyAlignment="1">
      <alignment horizontal="center" vertical="center"/>
    </xf>
    <xf numFmtId="49" fontId="26" fillId="0" borderId="3" xfId="0" applyNumberFormat="1" applyFont="1" applyBorder="1" applyAlignment="1">
      <alignment horizontal="center" vertical="center"/>
    </xf>
    <xf numFmtId="0" fontId="16" fillId="6" borderId="0" xfId="0" applyFont="1" applyFill="1" applyAlignment="1">
      <alignment horizontal="left"/>
    </xf>
    <xf numFmtId="0" fontId="2" fillId="6" borderId="1" xfId="0" applyFont="1" applyFill="1" applyBorder="1" applyAlignment="1">
      <alignment horizontal="center" vertical="center" wrapText="1"/>
    </xf>
    <xf numFmtId="0" fontId="18" fillId="6" borderId="1" xfId="0" applyFont="1" applyFill="1" applyBorder="1" applyAlignment="1">
      <alignment horizontal="center" vertical="center" wrapText="1"/>
    </xf>
  </cellXfs>
  <cellStyles count="4">
    <cellStyle name="Обычный" xfId="0" builtinId="0"/>
    <cellStyle name="Обычный 3" xfId="1"/>
    <cellStyle name="Обычный_дод 2" xfId="2"/>
    <cellStyle name="Обычный_дод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externalLinkPath" Target="&#1044;&#1086;&#1076;.&#8470;%203_2017.xls" TargetMode="External"/><Relationship Id="rId13" Type="http://schemas.openxmlformats.org/officeDocument/2006/relationships/comments" Target="../comments1.xml"/><Relationship Id="rId3" Type="http://schemas.openxmlformats.org/officeDocument/2006/relationships/externalLinkPath" Target="&#1044;&#1086;&#1076;.&#8470;%203_2017.xls" TargetMode="External"/><Relationship Id="rId7" Type="http://schemas.openxmlformats.org/officeDocument/2006/relationships/externalLinkPath" Target="&#1044;&#1086;&#1076;.&#8470;%203_2017.xls" TargetMode="External"/><Relationship Id="rId12" Type="http://schemas.openxmlformats.org/officeDocument/2006/relationships/vmlDrawing" Target="../drawings/vmlDrawing1.vml"/><Relationship Id="rId2" Type="http://schemas.openxmlformats.org/officeDocument/2006/relationships/externalLinkPath" Target="&#1044;&#1086;&#1076;.&#8470;%203_2017.xls" TargetMode="External"/><Relationship Id="rId1" Type="http://schemas.openxmlformats.org/officeDocument/2006/relationships/externalLinkPath" Target="&#1044;&#1086;&#1076;.&#8470;%203_2017.xls" TargetMode="External"/><Relationship Id="rId6" Type="http://schemas.openxmlformats.org/officeDocument/2006/relationships/externalLinkPath" Target="&#1044;&#1086;&#1076;.&#8470;%203_2017.xls" TargetMode="External"/><Relationship Id="rId11" Type="http://schemas.openxmlformats.org/officeDocument/2006/relationships/printerSettings" Target="../printerSettings/printerSettings2.bin"/><Relationship Id="rId5" Type="http://schemas.openxmlformats.org/officeDocument/2006/relationships/externalLinkPath" Target="&#1044;&#1086;&#1076;.&#8470;%203_2017.xls" TargetMode="External"/><Relationship Id="rId10" Type="http://schemas.openxmlformats.org/officeDocument/2006/relationships/externalLinkPath" Target="&#1044;&#1086;&#1076;.&#8470;%203_2017.xls" TargetMode="External"/><Relationship Id="rId4" Type="http://schemas.openxmlformats.org/officeDocument/2006/relationships/externalLinkPath" Target="&#1044;&#1086;&#1076;.&#8470;%203_2017.xls" TargetMode="External"/><Relationship Id="rId9" Type="http://schemas.openxmlformats.org/officeDocument/2006/relationships/externalLinkPath" Target="&#1044;&#1086;&#1076;.&#8470;%203_2017.xls" TargetMode="External"/></Relationships>
</file>

<file path=xl/worksheets/sheet1.xml><?xml version="1.0" encoding="utf-8"?>
<worksheet xmlns="http://schemas.openxmlformats.org/spreadsheetml/2006/main" xmlns:r="http://schemas.openxmlformats.org/officeDocument/2006/relationships">
  <dimension ref="A1:P84"/>
  <sheetViews>
    <sheetView tabSelected="1" view="pageBreakPreview" zoomScale="84" zoomScaleNormal="73" zoomScaleSheetLayoutView="84" workbookViewId="0">
      <pane xSplit="3" ySplit="12" topLeftCell="J13" activePane="bottomRight" state="frozen"/>
      <selection pane="topRight" activeCell="D1" sqref="D1"/>
      <selection pane="bottomLeft" activeCell="A15" sqref="A15"/>
      <selection pane="bottomRight" activeCell="A5" sqref="A5:N5"/>
    </sheetView>
  </sheetViews>
  <sheetFormatPr defaultColWidth="9.109375" defaultRowHeight="14.4"/>
  <cols>
    <col min="1" max="2" width="9.109375" style="4"/>
    <col min="3" max="3" width="45.33203125" style="5" customWidth="1"/>
    <col min="4" max="4" width="15.6640625" style="6" customWidth="1"/>
    <col min="5" max="5" width="14" style="6" customWidth="1"/>
    <col min="6" max="6" width="13.33203125" style="6" customWidth="1"/>
    <col min="7" max="7" width="14.44140625" style="6" customWidth="1"/>
    <col min="8" max="8" width="12.6640625" style="6" customWidth="1"/>
    <col min="9" max="9" width="10.33203125" style="6" customWidth="1"/>
    <col min="10" max="10" width="10.44140625" style="6" customWidth="1"/>
    <col min="11" max="11" width="13.33203125" style="6" customWidth="1"/>
    <col min="12" max="12" width="14.44140625" style="6" customWidth="1"/>
    <col min="13" max="13" width="15" style="6" customWidth="1"/>
    <col min="14" max="14" width="15.109375" style="6" customWidth="1"/>
    <col min="15" max="15" width="9.109375" style="6"/>
    <col min="16" max="16" width="12" style="6" bestFit="1" customWidth="1"/>
    <col min="17" max="16384" width="9.109375" style="6"/>
  </cols>
  <sheetData>
    <row r="1" spans="1:14">
      <c r="K1" s="7" t="s">
        <v>287</v>
      </c>
      <c r="L1" s="7"/>
    </row>
    <row r="2" spans="1:14">
      <c r="K2" s="8" t="s">
        <v>299</v>
      </c>
      <c r="L2" s="8"/>
    </row>
    <row r="3" spans="1:14">
      <c r="K3" s="8" t="s">
        <v>296</v>
      </c>
      <c r="L3" s="8"/>
    </row>
    <row r="5" spans="1:14" ht="38.25" customHeight="1">
      <c r="A5" s="179" t="s">
        <v>279</v>
      </c>
      <c r="B5" s="179"/>
      <c r="C5" s="179"/>
      <c r="D5" s="179"/>
      <c r="E5" s="179"/>
      <c r="F5" s="179"/>
      <c r="G5" s="179"/>
      <c r="H5" s="179"/>
      <c r="I5" s="179"/>
      <c r="J5" s="179"/>
      <c r="K5" s="179"/>
      <c r="L5" s="179"/>
      <c r="M5" s="179"/>
      <c r="N5" s="179"/>
    </row>
    <row r="6" spans="1:14">
      <c r="C6" s="180"/>
      <c r="D6" s="180"/>
      <c r="E6" s="180"/>
      <c r="F6" s="180"/>
      <c r="G6" s="180"/>
      <c r="H6" s="180"/>
      <c r="I6" s="180"/>
      <c r="J6" s="180"/>
      <c r="K6" s="180"/>
      <c r="L6" s="180"/>
      <c r="M6" s="180"/>
      <c r="N6" s="180"/>
    </row>
    <row r="7" spans="1:14">
      <c r="N7" s="9" t="s">
        <v>0</v>
      </c>
    </row>
    <row r="8" spans="1:14" ht="15" customHeight="1">
      <c r="A8" s="181" t="s">
        <v>46</v>
      </c>
      <c r="B8" s="181" t="s">
        <v>47</v>
      </c>
      <c r="C8" s="181" t="s">
        <v>1</v>
      </c>
      <c r="D8" s="181" t="s">
        <v>2</v>
      </c>
      <c r="E8" s="181"/>
      <c r="F8" s="181"/>
      <c r="G8" s="181" t="s">
        <v>6</v>
      </c>
      <c r="H8" s="181"/>
      <c r="I8" s="181"/>
      <c r="J8" s="181"/>
      <c r="K8" s="181"/>
      <c r="L8" s="181"/>
      <c r="M8" s="181"/>
      <c r="N8" s="182" t="s">
        <v>11</v>
      </c>
    </row>
    <row r="9" spans="1:14">
      <c r="A9" s="181"/>
      <c r="B9" s="181"/>
      <c r="C9" s="181"/>
      <c r="D9" s="181" t="s">
        <v>3</v>
      </c>
      <c r="E9" s="181" t="s">
        <v>4</v>
      </c>
      <c r="F9" s="181"/>
      <c r="G9" s="181" t="s">
        <v>3</v>
      </c>
      <c r="H9" s="181" t="s">
        <v>7</v>
      </c>
      <c r="I9" s="181" t="s">
        <v>4</v>
      </c>
      <c r="J9" s="181"/>
      <c r="K9" s="181" t="s">
        <v>8</v>
      </c>
      <c r="L9" s="181" t="s">
        <v>4</v>
      </c>
      <c r="M9" s="181"/>
      <c r="N9" s="183"/>
    </row>
    <row r="10" spans="1:14">
      <c r="A10" s="181"/>
      <c r="B10" s="181"/>
      <c r="C10" s="181"/>
      <c r="D10" s="181"/>
      <c r="E10" s="181" t="s">
        <v>22</v>
      </c>
      <c r="F10" s="181" t="s">
        <v>5</v>
      </c>
      <c r="G10" s="181"/>
      <c r="H10" s="181"/>
      <c r="I10" s="181" t="s">
        <v>22</v>
      </c>
      <c r="J10" s="181" t="s">
        <v>5</v>
      </c>
      <c r="K10" s="181"/>
      <c r="L10" s="181" t="s">
        <v>9</v>
      </c>
      <c r="M10" s="10" t="s">
        <v>4</v>
      </c>
      <c r="N10" s="183"/>
    </row>
    <row r="11" spans="1:14" ht="57.6">
      <c r="A11" s="181"/>
      <c r="B11" s="181"/>
      <c r="C11" s="181"/>
      <c r="D11" s="181"/>
      <c r="E11" s="181"/>
      <c r="F11" s="181"/>
      <c r="G11" s="181"/>
      <c r="H11" s="181"/>
      <c r="I11" s="181"/>
      <c r="J11" s="181"/>
      <c r="K11" s="181"/>
      <c r="L11" s="181"/>
      <c r="M11" s="11" t="s">
        <v>10</v>
      </c>
      <c r="N11" s="183"/>
    </row>
    <row r="12" spans="1:14">
      <c r="A12" s="12">
        <v>1</v>
      </c>
      <c r="B12" s="12">
        <v>2</v>
      </c>
      <c r="C12" s="72">
        <v>3</v>
      </c>
      <c r="D12" s="72">
        <v>4</v>
      </c>
      <c r="E12" s="72">
        <v>5</v>
      </c>
      <c r="F12" s="72">
        <v>6</v>
      </c>
      <c r="G12" s="72">
        <v>7</v>
      </c>
      <c r="H12" s="72">
        <v>8</v>
      </c>
      <c r="I12" s="72">
        <v>9</v>
      </c>
      <c r="J12" s="72">
        <v>10</v>
      </c>
      <c r="K12" s="72">
        <v>11</v>
      </c>
      <c r="L12" s="72">
        <v>12</v>
      </c>
      <c r="M12" s="72">
        <v>13</v>
      </c>
      <c r="N12" s="33">
        <f t="shared" ref="N12:N15" si="0">D12+G12</f>
        <v>11</v>
      </c>
    </row>
    <row r="13" spans="1:14" s="99" customFormat="1" ht="15.6">
      <c r="A13" s="92" t="s">
        <v>49</v>
      </c>
      <c r="B13" s="98"/>
      <c r="C13" s="94" t="s">
        <v>12</v>
      </c>
      <c r="D13" s="104">
        <f>D14+D15</f>
        <v>4397.0999999999995</v>
      </c>
      <c r="E13" s="104">
        <f>E14+E15</f>
        <v>4202.1000000000004</v>
      </c>
      <c r="F13" s="104"/>
      <c r="G13" s="104">
        <f t="shared" ref="G13:G14" si="1">H13+K13</f>
        <v>0</v>
      </c>
      <c r="H13" s="104">
        <f>H14+H15</f>
        <v>24</v>
      </c>
      <c r="I13" s="104">
        <f t="shared" ref="I13:M13" si="2">I14+I15</f>
        <v>0</v>
      </c>
      <c r="J13" s="104">
        <f t="shared" si="2"/>
        <v>0</v>
      </c>
      <c r="K13" s="104">
        <f t="shared" si="2"/>
        <v>-24</v>
      </c>
      <c r="L13" s="104">
        <f t="shared" si="2"/>
        <v>0</v>
      </c>
      <c r="M13" s="104">
        <f t="shared" si="2"/>
        <v>0</v>
      </c>
      <c r="N13" s="33">
        <f t="shared" si="0"/>
        <v>4397.0999999999995</v>
      </c>
    </row>
    <row r="14" spans="1:14" s="99" customFormat="1" ht="87" customHeight="1">
      <c r="A14" s="100" t="s">
        <v>50</v>
      </c>
      <c r="B14" s="100" t="s">
        <v>52</v>
      </c>
      <c r="C14" s="101" t="s">
        <v>53</v>
      </c>
      <c r="D14" s="103">
        <f>2768.6+48.7</f>
        <v>2817.2999999999997</v>
      </c>
      <c r="E14" s="103">
        <v>2622.3</v>
      </c>
      <c r="F14" s="103"/>
      <c r="G14" s="103">
        <f t="shared" si="1"/>
        <v>0</v>
      </c>
      <c r="H14" s="103">
        <v>24</v>
      </c>
      <c r="I14" s="103"/>
      <c r="J14" s="103"/>
      <c r="K14" s="103">
        <v>-24</v>
      </c>
      <c r="L14" s="103"/>
      <c r="M14" s="103"/>
      <c r="N14" s="48">
        <f t="shared" si="0"/>
        <v>2817.2999999999997</v>
      </c>
    </row>
    <row r="15" spans="1:14" s="99" customFormat="1" ht="57.75" customHeight="1">
      <c r="A15" s="100" t="s">
        <v>51</v>
      </c>
      <c r="B15" s="100" t="s">
        <v>52</v>
      </c>
      <c r="C15" s="102" t="s">
        <v>54</v>
      </c>
      <c r="D15" s="103">
        <v>1579.8</v>
      </c>
      <c r="E15" s="103">
        <v>1579.8</v>
      </c>
      <c r="F15" s="103"/>
      <c r="G15" s="103">
        <f>H15+K15</f>
        <v>0</v>
      </c>
      <c r="H15" s="103"/>
      <c r="I15" s="103"/>
      <c r="J15" s="103"/>
      <c r="K15" s="103"/>
      <c r="L15" s="103"/>
      <c r="M15" s="103"/>
      <c r="N15" s="48">
        <f t="shared" si="0"/>
        <v>1579.8</v>
      </c>
    </row>
    <row r="16" spans="1:14" s="99" customFormat="1" ht="17.25" customHeight="1">
      <c r="A16" s="14" t="s">
        <v>55</v>
      </c>
      <c r="B16" s="15"/>
      <c r="C16" s="16" t="s">
        <v>13</v>
      </c>
      <c r="D16" s="104">
        <f>D17+D18+D19</f>
        <v>9381.1999999999989</v>
      </c>
      <c r="E16" s="104">
        <f>E17+E18+E19</f>
        <v>9381.1999999999989</v>
      </c>
      <c r="F16" s="104"/>
      <c r="G16" s="104">
        <f t="shared" ref="G16:G18" si="3">H16+K16</f>
        <v>86.94</v>
      </c>
      <c r="H16" s="104">
        <f>H18</f>
        <v>86.94</v>
      </c>
      <c r="I16" s="104">
        <f>I18</f>
        <v>66.822999999999993</v>
      </c>
      <c r="J16" s="104"/>
      <c r="K16" s="104">
        <f>K17</f>
        <v>0</v>
      </c>
      <c r="L16" s="104">
        <f t="shared" ref="L16:M16" si="4">L17</f>
        <v>0</v>
      </c>
      <c r="M16" s="104">
        <f t="shared" si="4"/>
        <v>0</v>
      </c>
      <c r="N16" s="33">
        <f t="shared" ref="N16:N37" si="5">D16+G16</f>
        <v>9468.14</v>
      </c>
    </row>
    <row r="17" spans="1:16" s="99" customFormat="1" ht="15.75" customHeight="1">
      <c r="A17" s="79" t="s">
        <v>57</v>
      </c>
      <c r="B17" s="79" t="s">
        <v>56</v>
      </c>
      <c r="C17" s="123" t="s">
        <v>58</v>
      </c>
      <c r="D17" s="103">
        <v>3339.2</v>
      </c>
      <c r="E17" s="103">
        <v>3339.2</v>
      </c>
      <c r="F17" s="103"/>
      <c r="G17" s="103">
        <f>K17</f>
        <v>0</v>
      </c>
      <c r="H17" s="103"/>
      <c r="I17" s="103"/>
      <c r="J17" s="103"/>
      <c r="K17" s="103"/>
      <c r="L17" s="103"/>
      <c r="M17" s="103"/>
      <c r="N17" s="48">
        <f t="shared" si="5"/>
        <v>3339.2</v>
      </c>
    </row>
    <row r="18" spans="1:16" ht="78" customHeight="1">
      <c r="A18" s="15" t="s">
        <v>59</v>
      </c>
      <c r="B18" s="15" t="s">
        <v>60</v>
      </c>
      <c r="C18" s="3" t="s">
        <v>61</v>
      </c>
      <c r="D18" s="21">
        <v>5685.1</v>
      </c>
      <c r="E18" s="21">
        <v>5685.1</v>
      </c>
      <c r="F18" s="32"/>
      <c r="G18" s="103">
        <f t="shared" si="3"/>
        <v>86.94</v>
      </c>
      <c r="H18" s="21">
        <f>86.94</f>
        <v>86.94</v>
      </c>
      <c r="I18" s="21">
        <v>66.822999999999993</v>
      </c>
      <c r="J18" s="32"/>
      <c r="K18" s="32"/>
      <c r="L18" s="32"/>
      <c r="M18" s="32"/>
      <c r="N18" s="48">
        <f t="shared" si="5"/>
        <v>5772.04</v>
      </c>
      <c r="P18" s="34" t="e">
        <f>#REF!+#REF!+#REF!+#REF!+#REF!+#REF!+#REF!+#REF!+#REF!+N78+N79+N81</f>
        <v>#REF!</v>
      </c>
    </row>
    <row r="19" spans="1:16" ht="78" customHeight="1">
      <c r="A19" s="19" t="s">
        <v>144</v>
      </c>
      <c r="B19" s="19" t="s">
        <v>66</v>
      </c>
      <c r="C19" s="3" t="s">
        <v>256</v>
      </c>
      <c r="D19" s="21">
        <v>356.9</v>
      </c>
      <c r="E19" s="21">
        <v>356.9</v>
      </c>
      <c r="F19" s="32"/>
      <c r="G19" s="103"/>
      <c r="H19" s="21"/>
      <c r="I19" s="21"/>
      <c r="J19" s="32"/>
      <c r="K19" s="32"/>
      <c r="L19" s="32"/>
      <c r="M19" s="32"/>
      <c r="N19" s="48"/>
      <c r="P19" s="34"/>
    </row>
    <row r="20" spans="1:16" ht="19.5" customHeight="1">
      <c r="A20" s="14" t="s">
        <v>82</v>
      </c>
      <c r="B20" s="14"/>
      <c r="C20" s="29" t="s">
        <v>43</v>
      </c>
      <c r="D20" s="32">
        <f>D21+D22</f>
        <v>4930.2</v>
      </c>
      <c r="E20" s="32">
        <f>E21+E22</f>
        <v>4153.5</v>
      </c>
      <c r="F20" s="32"/>
      <c r="G20" s="142">
        <f>H20+K20</f>
        <v>1311.26865</v>
      </c>
      <c r="H20" s="32">
        <f>H21+H22</f>
        <v>1246.76765</v>
      </c>
      <c r="I20" s="32"/>
      <c r="J20" s="32"/>
      <c r="K20" s="32">
        <f>K21</f>
        <v>64.501000000000005</v>
      </c>
      <c r="L20" s="32"/>
      <c r="M20" s="32"/>
      <c r="N20" s="33">
        <f t="shared" si="5"/>
        <v>6241.4686499999998</v>
      </c>
      <c r="P20" s="34"/>
    </row>
    <row r="21" spans="1:16" ht="32.25" customHeight="1">
      <c r="A21" s="15" t="s">
        <v>83</v>
      </c>
      <c r="B21" s="15" t="s">
        <v>84</v>
      </c>
      <c r="C21" s="28" t="s">
        <v>85</v>
      </c>
      <c r="D21" s="21">
        <f>4153.5+776.7</f>
        <v>4930.2</v>
      </c>
      <c r="E21" s="21">
        <v>4153.5</v>
      </c>
      <c r="F21" s="32"/>
      <c r="G21" s="138">
        <f>H21+K21</f>
        <v>1304.1186499999999</v>
      </c>
      <c r="H21" s="21">
        <f>974.98353+264.63412</f>
        <v>1239.6176499999999</v>
      </c>
      <c r="I21" s="21"/>
      <c r="J21" s="32"/>
      <c r="K21" s="21">
        <f>14.501+50</f>
        <v>64.501000000000005</v>
      </c>
      <c r="L21" s="32"/>
      <c r="M21" s="32"/>
      <c r="N21" s="48">
        <f t="shared" si="5"/>
        <v>6234.3186499999993</v>
      </c>
      <c r="P21" s="34"/>
    </row>
    <row r="22" spans="1:16" ht="30.75" customHeight="1">
      <c r="A22" s="15" t="s">
        <v>86</v>
      </c>
      <c r="B22" s="15" t="s">
        <v>87</v>
      </c>
      <c r="C22" s="28" t="s">
        <v>88</v>
      </c>
      <c r="D22" s="21"/>
      <c r="E22" s="21"/>
      <c r="F22" s="32"/>
      <c r="G22" s="103">
        <f>H22</f>
        <v>7.15</v>
      </c>
      <c r="H22" s="21">
        <v>7.15</v>
      </c>
      <c r="I22" s="21"/>
      <c r="J22" s="32"/>
      <c r="K22" s="32"/>
      <c r="L22" s="32"/>
      <c r="M22" s="32"/>
      <c r="N22" s="48">
        <f t="shared" si="5"/>
        <v>7.15</v>
      </c>
      <c r="P22" s="34"/>
    </row>
    <row r="23" spans="1:16" ht="21" customHeight="1">
      <c r="A23" s="14" t="s">
        <v>89</v>
      </c>
      <c r="B23" s="15"/>
      <c r="C23" s="16" t="s">
        <v>14</v>
      </c>
      <c r="D23" s="141">
        <f>D24+D32+D34+D37+D38</f>
        <v>3748.14455</v>
      </c>
      <c r="E23" s="141">
        <f>E24+E32+E34+E37+E38</f>
        <v>178.29999999999998</v>
      </c>
      <c r="F23" s="32"/>
      <c r="G23" s="103"/>
      <c r="H23" s="21"/>
      <c r="I23" s="21"/>
      <c r="J23" s="32"/>
      <c r="K23" s="32"/>
      <c r="L23" s="32"/>
      <c r="M23" s="32"/>
      <c r="N23" s="140">
        <f t="shared" si="5"/>
        <v>3748.14455</v>
      </c>
      <c r="P23" s="34"/>
    </row>
    <row r="24" spans="1:16" s="124" customFormat="1" ht="99" customHeight="1">
      <c r="A24" s="43" t="s">
        <v>90</v>
      </c>
      <c r="B24" s="43"/>
      <c r="C24" s="41" t="s">
        <v>91</v>
      </c>
      <c r="D24" s="131">
        <f>D25+D26+D28+D29+D30+D31</f>
        <v>2343.64455</v>
      </c>
      <c r="E24" s="131"/>
      <c r="F24" s="131"/>
      <c r="G24" s="132"/>
      <c r="H24" s="131"/>
      <c r="I24" s="131"/>
      <c r="J24" s="131"/>
      <c r="K24" s="131"/>
      <c r="L24" s="131"/>
      <c r="M24" s="131"/>
      <c r="N24" s="133">
        <f>D24+G24</f>
        <v>2343.64455</v>
      </c>
      <c r="P24" s="125"/>
    </row>
    <row r="25" spans="1:16" s="128" customFormat="1" ht="180.75" customHeight="1">
      <c r="A25" s="126" t="s">
        <v>92</v>
      </c>
      <c r="B25" s="126" t="s">
        <v>62</v>
      </c>
      <c r="C25" s="127" t="s">
        <v>257</v>
      </c>
      <c r="D25" s="134">
        <v>149.90398999999999</v>
      </c>
      <c r="E25" s="134"/>
      <c r="F25" s="134"/>
      <c r="G25" s="135"/>
      <c r="H25" s="134"/>
      <c r="I25" s="134"/>
      <c r="J25" s="134"/>
      <c r="K25" s="134"/>
      <c r="L25" s="134"/>
      <c r="M25" s="134"/>
      <c r="N25" s="136">
        <f>D25+G25</f>
        <v>149.90398999999999</v>
      </c>
      <c r="P25" s="129"/>
    </row>
    <row r="26" spans="1:16" s="128" customFormat="1" ht="235.5" customHeight="1">
      <c r="A26" s="192" t="s">
        <v>176</v>
      </c>
      <c r="B26" s="192" t="s">
        <v>62</v>
      </c>
      <c r="C26" s="184" t="s">
        <v>177</v>
      </c>
      <c r="D26" s="188">
        <v>1.8630199999999999</v>
      </c>
      <c r="E26" s="188"/>
      <c r="F26" s="188"/>
      <c r="G26" s="186"/>
      <c r="H26" s="188"/>
      <c r="I26" s="188"/>
      <c r="J26" s="188"/>
      <c r="K26" s="188"/>
      <c r="L26" s="188"/>
      <c r="M26" s="188"/>
      <c r="N26" s="190">
        <f>D26+G26</f>
        <v>1.8630199999999999</v>
      </c>
      <c r="P26" s="129"/>
    </row>
    <row r="27" spans="1:16" s="128" customFormat="1" ht="256.5" customHeight="1">
      <c r="A27" s="193"/>
      <c r="B27" s="193"/>
      <c r="C27" s="185"/>
      <c r="D27" s="189"/>
      <c r="E27" s="189"/>
      <c r="F27" s="189"/>
      <c r="G27" s="187"/>
      <c r="H27" s="189"/>
      <c r="I27" s="189"/>
      <c r="J27" s="189"/>
      <c r="K27" s="189"/>
      <c r="L27" s="189"/>
      <c r="M27" s="189"/>
      <c r="N27" s="191"/>
      <c r="P27" s="129"/>
    </row>
    <row r="28" spans="1:16" s="99" customFormat="1" ht="95.25" customHeight="1">
      <c r="A28" s="98" t="s">
        <v>178</v>
      </c>
      <c r="B28" s="98" t="s">
        <v>144</v>
      </c>
      <c r="C28" s="52" t="s">
        <v>179</v>
      </c>
      <c r="D28" s="137">
        <v>17.39368</v>
      </c>
      <c r="E28" s="137"/>
      <c r="F28" s="137"/>
      <c r="G28" s="138"/>
      <c r="H28" s="137"/>
      <c r="I28" s="137"/>
      <c r="J28" s="137"/>
      <c r="K28" s="137"/>
      <c r="L28" s="137"/>
      <c r="M28" s="137"/>
      <c r="N28" s="139">
        <f>D28+G28</f>
        <v>17.39368</v>
      </c>
      <c r="P28" s="130"/>
    </row>
    <row r="29" spans="1:16" s="128" customFormat="1" ht="216.75" customHeight="1">
      <c r="A29" s="98" t="s">
        <v>184</v>
      </c>
      <c r="B29" s="98" t="s">
        <v>144</v>
      </c>
      <c r="C29" s="52" t="s">
        <v>258</v>
      </c>
      <c r="D29" s="134">
        <v>-60.901429999999998</v>
      </c>
      <c r="E29" s="134"/>
      <c r="F29" s="134"/>
      <c r="G29" s="135"/>
      <c r="H29" s="134"/>
      <c r="I29" s="134"/>
      <c r="J29" s="134"/>
      <c r="K29" s="134"/>
      <c r="L29" s="134"/>
      <c r="M29" s="134"/>
      <c r="N29" s="139">
        <f t="shared" ref="N29:N31" si="6">D29+G29</f>
        <v>-60.901429999999998</v>
      </c>
      <c r="P29" s="129"/>
    </row>
    <row r="30" spans="1:16" s="128" customFormat="1" ht="30.75" customHeight="1">
      <c r="A30" s="98" t="s">
        <v>188</v>
      </c>
      <c r="B30" s="98" t="s">
        <v>144</v>
      </c>
      <c r="C30" s="52" t="s">
        <v>189</v>
      </c>
      <c r="D30" s="134">
        <v>-106.31077000000001</v>
      </c>
      <c r="E30" s="134"/>
      <c r="F30" s="134"/>
      <c r="G30" s="135"/>
      <c r="H30" s="134"/>
      <c r="I30" s="134"/>
      <c r="J30" s="134"/>
      <c r="K30" s="134"/>
      <c r="L30" s="134"/>
      <c r="M30" s="134"/>
      <c r="N30" s="139">
        <f t="shared" si="6"/>
        <v>-106.31077000000001</v>
      </c>
      <c r="P30" s="129"/>
    </row>
    <row r="31" spans="1:16" s="128" customFormat="1" ht="48" customHeight="1">
      <c r="A31" s="98" t="s">
        <v>211</v>
      </c>
      <c r="B31" s="98" t="s">
        <v>64</v>
      </c>
      <c r="C31" s="52" t="s">
        <v>212</v>
      </c>
      <c r="D31" s="134">
        <v>2341.6960600000002</v>
      </c>
      <c r="E31" s="134"/>
      <c r="F31" s="134"/>
      <c r="G31" s="135"/>
      <c r="H31" s="134"/>
      <c r="I31" s="134"/>
      <c r="J31" s="134"/>
      <c r="K31" s="134"/>
      <c r="L31" s="134"/>
      <c r="M31" s="134"/>
      <c r="N31" s="139">
        <f t="shared" si="6"/>
        <v>2341.6960600000002</v>
      </c>
      <c r="P31" s="129"/>
    </row>
    <row r="32" spans="1:16" s="107" customFormat="1" ht="72" customHeight="1">
      <c r="A32" s="43" t="s">
        <v>232</v>
      </c>
      <c r="B32" s="43"/>
      <c r="C32" s="41" t="s">
        <v>233</v>
      </c>
      <c r="D32" s="105">
        <f>D33</f>
        <v>128.6</v>
      </c>
      <c r="E32" s="105">
        <f>E33</f>
        <v>128.6</v>
      </c>
      <c r="F32" s="105"/>
      <c r="G32" s="105"/>
      <c r="H32" s="105"/>
      <c r="I32" s="105"/>
      <c r="J32" s="105"/>
      <c r="K32" s="105"/>
      <c r="L32" s="105"/>
      <c r="M32" s="105"/>
      <c r="N32" s="106">
        <f t="shared" si="5"/>
        <v>128.6</v>
      </c>
      <c r="P32" s="108"/>
    </row>
    <row r="33" spans="1:14" ht="63.75" customHeight="1">
      <c r="A33" s="15" t="s">
        <v>234</v>
      </c>
      <c r="B33" s="15" t="s">
        <v>59</v>
      </c>
      <c r="C33" s="52" t="s">
        <v>249</v>
      </c>
      <c r="D33" s="25">
        <v>128.6</v>
      </c>
      <c r="E33" s="25">
        <v>128.6</v>
      </c>
      <c r="F33" s="25"/>
      <c r="G33" s="25"/>
      <c r="H33" s="25"/>
      <c r="I33" s="25"/>
      <c r="J33" s="25"/>
      <c r="K33" s="25"/>
      <c r="L33" s="25"/>
      <c r="M33" s="25"/>
      <c r="N33" s="22">
        <f t="shared" si="5"/>
        <v>128.6</v>
      </c>
    </row>
    <row r="34" spans="1:14" s="107" customFormat="1" ht="31.2">
      <c r="A34" s="43" t="s">
        <v>223</v>
      </c>
      <c r="B34" s="43"/>
      <c r="C34" s="37" t="s">
        <v>224</v>
      </c>
      <c r="D34" s="105">
        <f>D35+D36</f>
        <v>58.5</v>
      </c>
      <c r="E34" s="105">
        <f>E35+E36</f>
        <v>49.699999999999996</v>
      </c>
      <c r="F34" s="105"/>
      <c r="G34" s="105"/>
      <c r="H34" s="105"/>
      <c r="I34" s="105"/>
      <c r="J34" s="105"/>
      <c r="K34" s="105"/>
      <c r="L34" s="105"/>
      <c r="M34" s="105"/>
      <c r="N34" s="109">
        <f t="shared" si="5"/>
        <v>58.5</v>
      </c>
    </row>
    <row r="35" spans="1:14" ht="30.75" customHeight="1">
      <c r="A35" s="15" t="s">
        <v>227</v>
      </c>
      <c r="B35" s="15" t="s">
        <v>195</v>
      </c>
      <c r="C35" s="28" t="s">
        <v>225</v>
      </c>
      <c r="D35" s="25">
        <v>13.2</v>
      </c>
      <c r="E35" s="25">
        <v>4.4000000000000004</v>
      </c>
      <c r="F35" s="25"/>
      <c r="G35" s="25"/>
      <c r="H35" s="25"/>
      <c r="I35" s="25"/>
      <c r="J35" s="25"/>
      <c r="K35" s="25"/>
      <c r="L35" s="25"/>
      <c r="M35" s="25"/>
      <c r="N35" s="22">
        <f t="shared" si="5"/>
        <v>13.2</v>
      </c>
    </row>
    <row r="36" spans="1:14" ht="35.25" customHeight="1">
      <c r="A36" s="15" t="s">
        <v>222</v>
      </c>
      <c r="B36" s="15" t="s">
        <v>195</v>
      </c>
      <c r="C36" s="28" t="s">
        <v>226</v>
      </c>
      <c r="D36" s="25">
        <v>45.3</v>
      </c>
      <c r="E36" s="25">
        <v>45.3</v>
      </c>
      <c r="F36" s="25"/>
      <c r="G36" s="25"/>
      <c r="H36" s="25"/>
      <c r="I36" s="25"/>
      <c r="J36" s="25"/>
      <c r="K36" s="25"/>
      <c r="L36" s="25"/>
      <c r="M36" s="25"/>
      <c r="N36" s="22">
        <f t="shared" si="5"/>
        <v>45.3</v>
      </c>
    </row>
    <row r="37" spans="1:14" ht="93.6">
      <c r="A37" s="15" t="s">
        <v>239</v>
      </c>
      <c r="B37" s="15" t="s">
        <v>64</v>
      </c>
      <c r="C37" s="52" t="s">
        <v>240</v>
      </c>
      <c r="D37" s="25">
        <v>97.8</v>
      </c>
      <c r="E37" s="25"/>
      <c r="F37" s="25"/>
      <c r="G37" s="25"/>
      <c r="H37" s="25"/>
      <c r="I37" s="25"/>
      <c r="J37" s="25"/>
      <c r="K37" s="25"/>
      <c r="L37" s="25"/>
      <c r="M37" s="25"/>
      <c r="N37" s="22">
        <f t="shared" si="5"/>
        <v>97.8</v>
      </c>
    </row>
    <row r="38" spans="1:14" s="99" customFormat="1" ht="21" customHeight="1">
      <c r="A38" s="98" t="s">
        <v>217</v>
      </c>
      <c r="B38" s="98" t="s">
        <v>67</v>
      </c>
      <c r="C38" s="91" t="s">
        <v>44</v>
      </c>
      <c r="D38" s="112">
        <v>1119.5999999999999</v>
      </c>
      <c r="E38" s="110"/>
      <c r="F38" s="110"/>
      <c r="G38" s="110"/>
      <c r="H38" s="110"/>
      <c r="I38" s="110"/>
      <c r="J38" s="110"/>
      <c r="K38" s="110"/>
      <c r="L38" s="110"/>
      <c r="M38" s="110"/>
      <c r="N38" s="111">
        <f>D38+G38</f>
        <v>1119.5999999999999</v>
      </c>
    </row>
    <row r="39" spans="1:14" s="99" customFormat="1" ht="15" customHeight="1">
      <c r="A39" s="92" t="s">
        <v>116</v>
      </c>
      <c r="B39" s="92"/>
      <c r="C39" s="116" t="s">
        <v>16</v>
      </c>
      <c r="D39" s="110">
        <f>D40+D41+D42</f>
        <v>718.5</v>
      </c>
      <c r="E39" s="110">
        <f t="shared" ref="E39:F39" si="7">E40+E41+E42</f>
        <v>860.5</v>
      </c>
      <c r="F39" s="110">
        <f t="shared" si="7"/>
        <v>0</v>
      </c>
      <c r="G39" s="110">
        <f>H39+K39</f>
        <v>150</v>
      </c>
      <c r="H39" s="110"/>
      <c r="I39" s="110">
        <f>I41</f>
        <v>-198.7</v>
      </c>
      <c r="J39" s="110"/>
      <c r="K39" s="110">
        <f>K40</f>
        <v>150</v>
      </c>
      <c r="L39" s="110">
        <f t="shared" ref="L39:M39" si="8">L40</f>
        <v>150</v>
      </c>
      <c r="M39" s="110">
        <f t="shared" si="8"/>
        <v>150</v>
      </c>
      <c r="N39" s="111">
        <f t="shared" ref="N39:N45" si="9">D39+G39</f>
        <v>868.5</v>
      </c>
    </row>
    <row r="40" spans="1:14" s="99" customFormat="1" ht="35.25" customHeight="1">
      <c r="A40" s="98" t="s">
        <v>120</v>
      </c>
      <c r="B40" s="98" t="s">
        <v>121</v>
      </c>
      <c r="C40" s="117" t="s">
        <v>17</v>
      </c>
      <c r="D40" s="112">
        <v>12.7</v>
      </c>
      <c r="E40" s="112">
        <v>162.69999999999999</v>
      </c>
      <c r="F40" s="110"/>
      <c r="G40" s="112">
        <f t="shared" ref="G40:G42" si="10">H40+K40</f>
        <v>150</v>
      </c>
      <c r="H40" s="110"/>
      <c r="I40" s="110"/>
      <c r="J40" s="110"/>
      <c r="K40" s="112">
        <v>150</v>
      </c>
      <c r="L40" s="112">
        <v>150</v>
      </c>
      <c r="M40" s="112">
        <v>150</v>
      </c>
      <c r="N40" s="113">
        <f t="shared" si="9"/>
        <v>162.69999999999999</v>
      </c>
    </row>
    <row r="41" spans="1:14" s="99" customFormat="1" ht="15" customHeight="1">
      <c r="A41" s="98" t="s">
        <v>122</v>
      </c>
      <c r="B41" s="98" t="s">
        <v>68</v>
      </c>
      <c r="C41" s="117" t="s">
        <v>27</v>
      </c>
      <c r="D41" s="112">
        <v>637.79999999999995</v>
      </c>
      <c r="E41" s="112">
        <f>637.8+60</f>
        <v>697.8</v>
      </c>
      <c r="F41" s="110"/>
      <c r="G41" s="112">
        <f t="shared" si="10"/>
        <v>0</v>
      </c>
      <c r="H41" s="110"/>
      <c r="I41" s="112">
        <v>-198.7</v>
      </c>
      <c r="J41" s="110"/>
      <c r="K41" s="110"/>
      <c r="L41" s="110"/>
      <c r="M41" s="110"/>
      <c r="N41" s="113">
        <f t="shared" si="9"/>
        <v>637.79999999999995</v>
      </c>
    </row>
    <row r="42" spans="1:14" s="99" customFormat="1" ht="15.75" customHeight="1">
      <c r="A42" s="98" t="s">
        <v>123</v>
      </c>
      <c r="B42" s="98" t="s">
        <v>124</v>
      </c>
      <c r="C42" s="117" t="s">
        <v>18</v>
      </c>
      <c r="D42" s="112">
        <v>68</v>
      </c>
      <c r="E42" s="110"/>
      <c r="F42" s="110"/>
      <c r="G42" s="112">
        <f t="shared" si="10"/>
        <v>0</v>
      </c>
      <c r="H42" s="110"/>
      <c r="I42" s="110"/>
      <c r="J42" s="110"/>
      <c r="K42" s="112"/>
      <c r="L42" s="112"/>
      <c r="M42" s="112"/>
      <c r="N42" s="113">
        <f t="shared" si="9"/>
        <v>68</v>
      </c>
    </row>
    <row r="43" spans="1:14" s="99" customFormat="1" ht="23.25" customHeight="1">
      <c r="A43" s="92" t="s">
        <v>96</v>
      </c>
      <c r="B43" s="98"/>
      <c r="C43" s="94" t="s">
        <v>15</v>
      </c>
      <c r="D43" s="110"/>
      <c r="E43" s="110"/>
      <c r="F43" s="110"/>
      <c r="G43" s="110">
        <f>H43+K43</f>
        <v>2000</v>
      </c>
      <c r="H43" s="110"/>
      <c r="I43" s="110"/>
      <c r="J43" s="110"/>
      <c r="K43" s="110">
        <f>K44</f>
        <v>2000</v>
      </c>
      <c r="L43" s="110">
        <f t="shared" ref="L43:M43" si="11">L44</f>
        <v>2000</v>
      </c>
      <c r="M43" s="110">
        <f t="shared" si="11"/>
        <v>2000</v>
      </c>
      <c r="N43" s="111">
        <f t="shared" si="9"/>
        <v>2000</v>
      </c>
    </row>
    <row r="44" spans="1:14" s="115" customFormat="1" ht="33" customHeight="1">
      <c r="A44" s="118" t="s">
        <v>100</v>
      </c>
      <c r="B44" s="118"/>
      <c r="C44" s="37" t="s">
        <v>101</v>
      </c>
      <c r="D44" s="114"/>
      <c r="E44" s="114"/>
      <c r="F44" s="114"/>
      <c r="G44" s="119">
        <f>K44</f>
        <v>2000</v>
      </c>
      <c r="H44" s="114"/>
      <c r="I44" s="114"/>
      <c r="J44" s="114"/>
      <c r="K44" s="119">
        <f>K45</f>
        <v>2000</v>
      </c>
      <c r="L44" s="119">
        <f>L45</f>
        <v>2000</v>
      </c>
      <c r="M44" s="119">
        <f>M45</f>
        <v>2000</v>
      </c>
      <c r="N44" s="120">
        <f t="shared" si="9"/>
        <v>2000</v>
      </c>
    </row>
    <row r="45" spans="1:14" s="99" customFormat="1" ht="30" customHeight="1">
      <c r="A45" s="98" t="s">
        <v>289</v>
      </c>
      <c r="B45" s="98" t="s">
        <v>98</v>
      </c>
      <c r="C45" s="52" t="s">
        <v>288</v>
      </c>
      <c r="D45" s="110"/>
      <c r="E45" s="110"/>
      <c r="F45" s="110"/>
      <c r="G45" s="112">
        <f t="shared" ref="G45" si="12">K45</f>
        <v>2000</v>
      </c>
      <c r="H45" s="110"/>
      <c r="I45" s="110"/>
      <c r="J45" s="110"/>
      <c r="K45" s="112">
        <v>2000</v>
      </c>
      <c r="L45" s="112">
        <v>2000</v>
      </c>
      <c r="M45" s="112">
        <v>2000</v>
      </c>
      <c r="N45" s="113">
        <f t="shared" si="9"/>
        <v>2000</v>
      </c>
    </row>
    <row r="46" spans="1:14" s="93" customFormat="1" ht="15.6">
      <c r="A46" s="92" t="s">
        <v>131</v>
      </c>
      <c r="B46" s="92"/>
      <c r="C46" s="94" t="s">
        <v>20</v>
      </c>
      <c r="D46" s="121"/>
      <c r="E46" s="121"/>
      <c r="F46" s="121"/>
      <c r="G46" s="110">
        <f>K46</f>
        <v>7</v>
      </c>
      <c r="H46" s="121"/>
      <c r="I46" s="121"/>
      <c r="J46" s="121"/>
      <c r="K46" s="121">
        <f>K47</f>
        <v>7</v>
      </c>
      <c r="L46" s="121">
        <f t="shared" ref="L46:M46" si="13">L47</f>
        <v>7</v>
      </c>
      <c r="M46" s="121">
        <f t="shared" si="13"/>
        <v>7</v>
      </c>
      <c r="N46" s="111">
        <f t="shared" ref="N46:N47" si="14">D46+G46</f>
        <v>7</v>
      </c>
    </row>
    <row r="47" spans="1:14" s="99" customFormat="1" ht="31.2">
      <c r="A47" s="15" t="s">
        <v>132</v>
      </c>
      <c r="B47" s="15" t="s">
        <v>133</v>
      </c>
      <c r="C47" s="52" t="s">
        <v>134</v>
      </c>
      <c r="D47" s="122"/>
      <c r="E47" s="122"/>
      <c r="F47" s="122"/>
      <c r="G47" s="112">
        <f>K47</f>
        <v>7</v>
      </c>
      <c r="H47" s="122"/>
      <c r="I47" s="122"/>
      <c r="J47" s="122"/>
      <c r="K47" s="122">
        <v>7</v>
      </c>
      <c r="L47" s="122">
        <v>7</v>
      </c>
      <c r="M47" s="122">
        <v>7</v>
      </c>
      <c r="N47" s="113">
        <f t="shared" si="14"/>
        <v>7</v>
      </c>
    </row>
    <row r="48" spans="1:14">
      <c r="A48" s="14" t="s">
        <v>171</v>
      </c>
      <c r="B48" s="15"/>
      <c r="C48" s="16" t="s">
        <v>21</v>
      </c>
      <c r="D48" s="75">
        <f>D49+D50</f>
        <v>-2457.4</v>
      </c>
      <c r="E48" s="17"/>
      <c r="F48" s="17"/>
      <c r="G48" s="17">
        <f t="shared" ref="G48:G52" si="15">H48+K48</f>
        <v>135.80000000000001</v>
      </c>
      <c r="H48" s="17"/>
      <c r="I48" s="17"/>
      <c r="J48" s="17"/>
      <c r="K48" s="17">
        <f>K50+K49</f>
        <v>135.80000000000001</v>
      </c>
      <c r="L48" s="17">
        <f>L50+L49</f>
        <v>135.80000000000001</v>
      </c>
      <c r="M48" s="17">
        <f>M50+M49</f>
        <v>135.80000000000001</v>
      </c>
      <c r="N48" s="76">
        <f t="shared" ref="N48:N52" si="16">D48+G48</f>
        <v>-2321.6</v>
      </c>
    </row>
    <row r="49" spans="1:14" ht="62.4">
      <c r="A49" s="15" t="s">
        <v>269</v>
      </c>
      <c r="B49" s="15" t="s">
        <v>51</v>
      </c>
      <c r="C49" s="77" t="s">
        <v>270</v>
      </c>
      <c r="D49" s="25">
        <f>244.2-50</f>
        <v>194.2</v>
      </c>
      <c r="E49" s="25"/>
      <c r="F49" s="25"/>
      <c r="G49" s="25">
        <f t="shared" si="15"/>
        <v>135.80000000000001</v>
      </c>
      <c r="H49" s="25"/>
      <c r="I49" s="25"/>
      <c r="J49" s="25"/>
      <c r="K49" s="25">
        <v>135.80000000000001</v>
      </c>
      <c r="L49" s="25">
        <v>135.80000000000001</v>
      </c>
      <c r="M49" s="25">
        <v>135.80000000000001</v>
      </c>
      <c r="N49" s="22">
        <f t="shared" si="16"/>
        <v>330</v>
      </c>
    </row>
    <row r="50" spans="1:14">
      <c r="A50" s="15" t="s">
        <v>174</v>
      </c>
      <c r="B50" s="15" t="s">
        <v>170</v>
      </c>
      <c r="C50" s="54" t="s">
        <v>19</v>
      </c>
      <c r="D50" s="73">
        <f>-2701.6+50</f>
        <v>-2651.6</v>
      </c>
      <c r="E50" s="25"/>
      <c r="F50" s="25"/>
      <c r="G50" s="25">
        <f t="shared" si="15"/>
        <v>0</v>
      </c>
      <c r="H50" s="25"/>
      <c r="I50" s="25"/>
      <c r="J50" s="25"/>
      <c r="K50" s="25">
        <v>0</v>
      </c>
      <c r="L50" s="25">
        <v>0</v>
      </c>
      <c r="M50" s="25">
        <v>0</v>
      </c>
      <c r="N50" s="74">
        <f t="shared" si="16"/>
        <v>-2651.6</v>
      </c>
    </row>
    <row r="51" spans="1:14">
      <c r="A51" s="14" t="s">
        <v>166</v>
      </c>
      <c r="B51" s="15"/>
      <c r="C51" s="16" t="s">
        <v>37</v>
      </c>
      <c r="D51" s="17"/>
      <c r="E51" s="17"/>
      <c r="F51" s="17"/>
      <c r="G51" s="17">
        <f t="shared" si="15"/>
        <v>0</v>
      </c>
      <c r="H51" s="17">
        <f>H52</f>
        <v>160</v>
      </c>
      <c r="I51" s="17"/>
      <c r="J51" s="17"/>
      <c r="K51" s="17">
        <f>K52</f>
        <v>-160</v>
      </c>
      <c r="L51" s="17"/>
      <c r="M51" s="17"/>
      <c r="N51" s="18">
        <f t="shared" si="16"/>
        <v>0</v>
      </c>
    </row>
    <row r="52" spans="1:14" ht="27.6">
      <c r="A52" s="15" t="s">
        <v>167</v>
      </c>
      <c r="B52" s="15" t="s">
        <v>168</v>
      </c>
      <c r="C52" s="54" t="s">
        <v>38</v>
      </c>
      <c r="D52" s="25"/>
      <c r="E52" s="25"/>
      <c r="F52" s="25"/>
      <c r="G52" s="25">
        <f t="shared" si="15"/>
        <v>0</v>
      </c>
      <c r="H52" s="25">
        <v>160</v>
      </c>
      <c r="I52" s="25"/>
      <c r="J52" s="25"/>
      <c r="K52" s="25">
        <v>-160</v>
      </c>
      <c r="L52" s="25"/>
      <c r="M52" s="25"/>
      <c r="N52" s="22">
        <f t="shared" si="16"/>
        <v>0</v>
      </c>
    </row>
    <row r="53" spans="1:14">
      <c r="A53" s="64"/>
      <c r="B53" s="64"/>
      <c r="C53" s="65"/>
      <c r="D53" s="76">
        <f>D13+D16+D20+D23+D39+D48+D51</f>
        <v>20717.744549999999</v>
      </c>
      <c r="E53" s="76">
        <f t="shared" ref="E53:F53" si="17">E13+E16+E20+E23+E39+E48+E51</f>
        <v>18775.599999999999</v>
      </c>
      <c r="F53" s="76">
        <f t="shared" si="17"/>
        <v>0</v>
      </c>
      <c r="G53" s="76">
        <f>H53+K53</f>
        <v>3691.0086500000007</v>
      </c>
      <c r="H53" s="18">
        <f t="shared" ref="H53:J53" si="18">H13+H16+H20+H39+H43+H46+H51</f>
        <v>1517.7076500000001</v>
      </c>
      <c r="I53" s="18">
        <f>I13+I16+I20+I39+I43+I46+I51</f>
        <v>-131.87700000000001</v>
      </c>
      <c r="J53" s="18">
        <f t="shared" si="18"/>
        <v>0</v>
      </c>
      <c r="K53" s="18">
        <f>K13+K16+K20+K39+K43+K46+K48+K51</f>
        <v>2173.3010000000004</v>
      </c>
      <c r="L53" s="18">
        <f t="shared" ref="L53:M53" si="19">L13+L16+L20+L39+L43+L46+L48+L51</f>
        <v>2292.8000000000002</v>
      </c>
      <c r="M53" s="18">
        <f t="shared" si="19"/>
        <v>2292.8000000000002</v>
      </c>
      <c r="N53" s="76">
        <f>D53+G53</f>
        <v>24408.753199999999</v>
      </c>
    </row>
    <row r="54" spans="1:14">
      <c r="N54" s="34"/>
    </row>
    <row r="55" spans="1:14" s="90" customFormat="1" ht="18">
      <c r="A55" s="87"/>
      <c r="B55" s="87"/>
      <c r="C55" s="88" t="s">
        <v>297</v>
      </c>
      <c r="D55" s="89"/>
      <c r="E55" s="89" t="s">
        <v>298</v>
      </c>
      <c r="F55" s="89"/>
      <c r="G55" s="89"/>
      <c r="H55" s="89"/>
      <c r="I55" s="89"/>
      <c r="J55" s="89"/>
      <c r="K55" s="89"/>
      <c r="L55" s="89"/>
      <c r="M55" s="89"/>
      <c r="N55" s="89"/>
    </row>
    <row r="56" spans="1:14" s="68" customFormat="1" ht="13.8">
      <c r="A56" s="4"/>
      <c r="B56" s="4"/>
      <c r="C56" s="67"/>
      <c r="J56" s="69"/>
    </row>
    <row r="57" spans="1:14">
      <c r="D57" s="66"/>
      <c r="E57" s="66"/>
      <c r="F57" s="66"/>
      <c r="G57" s="66"/>
      <c r="H57" s="66"/>
      <c r="I57" s="66"/>
      <c r="J57" s="66"/>
      <c r="K57" s="66"/>
      <c r="L57" s="66"/>
      <c r="M57" s="66"/>
      <c r="N57" s="66"/>
    </row>
    <row r="58" spans="1:14">
      <c r="D58" s="66"/>
      <c r="E58" s="66"/>
      <c r="F58" s="66"/>
      <c r="G58" s="66"/>
      <c r="H58" s="66"/>
      <c r="I58" s="66"/>
      <c r="J58" s="66"/>
      <c r="K58" s="66"/>
      <c r="L58" s="66"/>
      <c r="M58" s="66"/>
      <c r="N58" s="66"/>
    </row>
    <row r="59" spans="1:14">
      <c r="D59" s="66"/>
      <c r="E59" s="66"/>
      <c r="F59" s="66"/>
      <c r="G59" s="66"/>
      <c r="H59" s="66"/>
      <c r="I59" s="66"/>
      <c r="J59" s="66"/>
      <c r="K59" s="66"/>
      <c r="L59" s="66"/>
      <c r="M59" s="66"/>
      <c r="N59" s="66"/>
    </row>
    <row r="60" spans="1:14">
      <c r="D60" s="66"/>
      <c r="E60" s="66"/>
      <c r="F60" s="66"/>
      <c r="G60" s="66"/>
      <c r="H60" s="66"/>
      <c r="I60" s="66"/>
      <c r="J60" s="66"/>
      <c r="K60" s="66"/>
      <c r="L60" s="66"/>
      <c r="M60" s="66"/>
      <c r="N60" s="66"/>
    </row>
    <row r="61" spans="1:14">
      <c r="D61" s="66"/>
      <c r="E61" s="66"/>
      <c r="F61" s="66"/>
      <c r="G61" s="66"/>
      <c r="H61" s="66"/>
      <c r="I61" s="66"/>
      <c r="J61" s="66"/>
      <c r="K61" s="66"/>
      <c r="L61" s="66"/>
      <c r="M61" s="66"/>
      <c r="N61" s="66"/>
    </row>
    <row r="62" spans="1:14">
      <c r="D62" s="66"/>
      <c r="E62" s="66"/>
      <c r="F62" s="66"/>
      <c r="G62" s="66"/>
      <c r="H62" s="66"/>
      <c r="I62" s="66"/>
      <c r="J62" s="66"/>
      <c r="K62" s="66"/>
      <c r="L62" s="66"/>
      <c r="M62" s="66"/>
      <c r="N62" s="66"/>
    </row>
    <row r="63" spans="1:14">
      <c r="D63" s="66"/>
      <c r="E63" s="66"/>
      <c r="F63" s="66"/>
      <c r="G63" s="66"/>
      <c r="H63" s="66"/>
      <c r="I63" s="66"/>
      <c r="J63" s="66"/>
      <c r="K63" s="66"/>
      <c r="L63" s="66"/>
      <c r="M63" s="66"/>
      <c r="N63" s="66"/>
    </row>
    <row r="64" spans="1:14">
      <c r="D64" s="66"/>
      <c r="E64" s="66"/>
      <c r="F64" s="66"/>
      <c r="G64" s="66"/>
      <c r="H64" s="66"/>
      <c r="I64" s="66"/>
      <c r="J64" s="66"/>
      <c r="K64" s="66"/>
      <c r="L64" s="66"/>
      <c r="M64" s="66"/>
      <c r="N64" s="66"/>
    </row>
    <row r="65" spans="3:14">
      <c r="D65" s="66"/>
      <c r="E65" s="66"/>
      <c r="F65" s="66"/>
      <c r="G65" s="66"/>
      <c r="H65" s="66"/>
      <c r="I65" s="66"/>
      <c r="J65" s="66"/>
      <c r="K65" s="66"/>
      <c r="L65" s="66"/>
      <c r="M65" s="66"/>
      <c r="N65" s="66"/>
    </row>
    <row r="66" spans="3:14">
      <c r="D66" s="66"/>
      <c r="E66" s="66"/>
      <c r="F66" s="66"/>
      <c r="G66" s="66"/>
      <c r="H66" s="66"/>
      <c r="I66" s="66"/>
      <c r="J66" s="66"/>
      <c r="K66" s="66"/>
      <c r="L66" s="66"/>
      <c r="M66" s="66"/>
      <c r="N66" s="66"/>
    </row>
    <row r="67" spans="3:14">
      <c r="D67" s="66"/>
      <c r="E67" s="66"/>
      <c r="F67" s="66"/>
      <c r="G67" s="66"/>
      <c r="H67" s="66"/>
      <c r="I67" s="66"/>
      <c r="J67" s="66"/>
      <c r="K67" s="66"/>
      <c r="L67" s="66"/>
      <c r="M67" s="66"/>
      <c r="N67" s="66"/>
    </row>
    <row r="68" spans="3:14">
      <c r="D68" s="66"/>
      <c r="E68" s="66"/>
      <c r="F68" s="66"/>
      <c r="G68" s="66"/>
      <c r="H68" s="66"/>
      <c r="I68" s="66"/>
      <c r="J68" s="66"/>
      <c r="K68" s="66"/>
      <c r="L68" s="66"/>
      <c r="M68" s="66"/>
      <c r="N68" s="66"/>
    </row>
    <row r="69" spans="3:14">
      <c r="D69" s="66"/>
      <c r="E69" s="66"/>
      <c r="F69" s="66"/>
      <c r="G69" s="66"/>
      <c r="H69" s="66"/>
      <c r="I69" s="66"/>
      <c r="J69" s="66"/>
      <c r="K69" s="66"/>
      <c r="L69" s="66"/>
      <c r="M69" s="66"/>
      <c r="N69" s="66"/>
    </row>
    <row r="70" spans="3:14">
      <c r="D70" s="66"/>
      <c r="E70" s="66"/>
      <c r="F70" s="66"/>
      <c r="G70" s="66"/>
      <c r="H70" s="66"/>
      <c r="I70" s="66"/>
      <c r="J70" s="66"/>
      <c r="K70" s="66"/>
      <c r="L70" s="66"/>
      <c r="M70" s="66"/>
      <c r="N70" s="66"/>
    </row>
    <row r="72" spans="3:14">
      <c r="D72" s="66"/>
      <c r="E72" s="66"/>
      <c r="F72" s="66"/>
      <c r="G72" s="66"/>
      <c r="H72" s="66"/>
      <c r="I72" s="66"/>
      <c r="J72" s="66"/>
      <c r="K72" s="66"/>
      <c r="L72" s="66"/>
      <c r="M72" s="66"/>
      <c r="N72" s="66"/>
    </row>
    <row r="73" spans="3:14">
      <c r="C73" s="70"/>
      <c r="D73" s="71"/>
      <c r="E73" s="71"/>
      <c r="F73" s="71"/>
      <c r="G73" s="71"/>
      <c r="H73" s="71"/>
      <c r="I73" s="71"/>
      <c r="J73" s="71"/>
      <c r="K73" s="71"/>
      <c r="L73" s="71"/>
      <c r="M73" s="71"/>
      <c r="N73" s="71"/>
    </row>
    <row r="74" spans="3:14">
      <c r="D74" s="66"/>
      <c r="E74" s="66"/>
      <c r="F74" s="66"/>
      <c r="G74" s="66"/>
      <c r="H74" s="66"/>
      <c r="I74" s="66"/>
      <c r="J74" s="66"/>
      <c r="K74" s="66"/>
      <c r="L74" s="66"/>
      <c r="M74" s="66"/>
      <c r="N74" s="66"/>
    </row>
    <row r="75" spans="3:14">
      <c r="G75" s="66"/>
      <c r="N75" s="66"/>
    </row>
    <row r="76" spans="3:14">
      <c r="G76" s="66"/>
      <c r="N76" s="66"/>
    </row>
    <row r="77" spans="3:14">
      <c r="G77" s="66"/>
      <c r="N77" s="66"/>
    </row>
    <row r="78" spans="3:14">
      <c r="G78" s="66"/>
      <c r="N78" s="66"/>
    </row>
    <row r="79" spans="3:14">
      <c r="G79" s="66"/>
      <c r="N79" s="66"/>
    </row>
    <row r="80" spans="3:14">
      <c r="G80" s="66"/>
      <c r="N80" s="66"/>
    </row>
    <row r="81" spans="4:14">
      <c r="G81" s="66"/>
      <c r="N81" s="66"/>
    </row>
    <row r="82" spans="4:14">
      <c r="G82" s="66"/>
      <c r="N82" s="66"/>
    </row>
    <row r="83" spans="4:14">
      <c r="G83" s="66"/>
      <c r="N83" s="66"/>
    </row>
    <row r="84" spans="4:14">
      <c r="D84" s="66"/>
      <c r="G84" s="66"/>
      <c r="H84" s="66"/>
      <c r="K84" s="66"/>
      <c r="L84" s="66"/>
      <c r="M84" s="66"/>
      <c r="N84" s="66"/>
    </row>
  </sheetData>
  <mergeCells count="34">
    <mergeCell ref="N26:N27"/>
    <mergeCell ref="A26:A27"/>
    <mergeCell ref="B26:B27"/>
    <mergeCell ref="D26:D27"/>
    <mergeCell ref="E26:E27"/>
    <mergeCell ref="F26:F27"/>
    <mergeCell ref="G8:M8"/>
    <mergeCell ref="F10:F11"/>
    <mergeCell ref="C26:C27"/>
    <mergeCell ref="G26:G27"/>
    <mergeCell ref="H26:H27"/>
    <mergeCell ref="I26:I27"/>
    <mergeCell ref="J26:J27"/>
    <mergeCell ref="K26:K27"/>
    <mergeCell ref="L26:L27"/>
    <mergeCell ref="M26:M27"/>
    <mergeCell ref="D9:D11"/>
    <mergeCell ref="J10:J11"/>
    <mergeCell ref="A5:N5"/>
    <mergeCell ref="C6:N6"/>
    <mergeCell ref="A8:A11"/>
    <mergeCell ref="B8:B11"/>
    <mergeCell ref="C8:C11"/>
    <mergeCell ref="D8:F8"/>
    <mergeCell ref="I10:I11"/>
    <mergeCell ref="N8:N11"/>
    <mergeCell ref="L10:L11"/>
    <mergeCell ref="E9:F9"/>
    <mergeCell ref="G9:G11"/>
    <mergeCell ref="H9:H11"/>
    <mergeCell ref="I9:J9"/>
    <mergeCell ref="K9:K11"/>
    <mergeCell ref="L9:M9"/>
    <mergeCell ref="E10:E11"/>
  </mergeCells>
  <pageMargins left="1.05" right="0.59055118110236227"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P171"/>
  <sheetViews>
    <sheetView view="pageBreakPreview" zoomScale="80" zoomScaleNormal="77" zoomScaleSheetLayoutView="80" workbookViewId="0">
      <pane xSplit="3" ySplit="14" topLeftCell="G126" activePane="bottomRight" state="frozen"/>
      <selection pane="topRight" activeCell="D1" sqref="D1"/>
      <selection pane="bottomLeft" activeCell="A15" sqref="A15"/>
      <selection pane="bottomRight" activeCell="M90" sqref="M90"/>
    </sheetView>
  </sheetViews>
  <sheetFormatPr defaultColWidth="9.109375" defaultRowHeight="14.4"/>
  <cols>
    <col min="1" max="2" width="9.109375" style="4"/>
    <col min="3" max="3" width="45.33203125" style="5" customWidth="1"/>
    <col min="4" max="4" width="15.6640625" style="6" customWidth="1"/>
    <col min="5" max="5" width="14" style="143" customWidth="1"/>
    <col min="6" max="6" width="13.33203125" style="143" customWidth="1"/>
    <col min="7" max="7" width="15.6640625" style="143" customWidth="1"/>
    <col min="8" max="8" width="15.44140625" style="143" customWidth="1"/>
    <col min="9" max="9" width="13.5546875" style="143" customWidth="1"/>
    <col min="10" max="10" width="10.44140625" style="143" customWidth="1"/>
    <col min="11" max="11" width="14.88671875" style="143" customWidth="1"/>
    <col min="12" max="12" width="14.44140625" style="143" customWidth="1"/>
    <col min="13" max="13" width="15" style="143" customWidth="1"/>
    <col min="14" max="14" width="15.109375" style="143" customWidth="1"/>
    <col min="15" max="15" width="9.109375" style="6"/>
    <col min="16" max="16" width="12" style="6" bestFit="1" customWidth="1"/>
    <col min="17" max="16384" width="9.109375" style="6"/>
  </cols>
  <sheetData>
    <row r="1" spans="1:14" s="143" customFormat="1">
      <c r="A1" s="158"/>
      <c r="B1" s="158"/>
      <c r="C1" s="159"/>
      <c r="K1" s="160" t="s">
        <v>287</v>
      </c>
      <c r="L1" s="160"/>
    </row>
    <row r="2" spans="1:14" s="143" customFormat="1">
      <c r="A2" s="158"/>
      <c r="B2" s="158"/>
      <c r="C2" s="159"/>
      <c r="K2" s="194" t="s">
        <v>280</v>
      </c>
      <c r="L2" s="194"/>
      <c r="M2" s="194"/>
    </row>
    <row r="3" spans="1:14" s="143" customFormat="1">
      <c r="A3" s="158"/>
      <c r="B3" s="158"/>
      <c r="C3" s="159"/>
      <c r="K3" s="178" t="s">
        <v>295</v>
      </c>
      <c r="L3" s="161"/>
      <c r="M3" s="162"/>
    </row>
    <row r="4" spans="1:14" s="143" customFormat="1">
      <c r="A4" s="158"/>
      <c r="B4" s="158"/>
      <c r="C4" s="159"/>
      <c r="K4" s="163"/>
      <c r="L4" s="163"/>
    </row>
    <row r="5" spans="1:14" s="143" customFormat="1">
      <c r="A5" s="158"/>
      <c r="B5" s="158"/>
      <c r="C5" s="159"/>
    </row>
    <row r="6" spans="1:14" ht="20.399999999999999">
      <c r="A6" s="179" t="s">
        <v>41</v>
      </c>
      <c r="B6" s="179"/>
      <c r="C6" s="179"/>
      <c r="D6" s="179"/>
      <c r="E6" s="179"/>
      <c r="F6" s="179"/>
      <c r="G6" s="179"/>
      <c r="H6" s="179"/>
      <c r="I6" s="179"/>
      <c r="J6" s="179"/>
      <c r="K6" s="179"/>
      <c r="L6" s="179"/>
      <c r="M6" s="179"/>
      <c r="N6" s="179"/>
    </row>
    <row r="7" spans="1:14" ht="20.399999999999999">
      <c r="A7" s="179" t="s">
        <v>45</v>
      </c>
      <c r="B7" s="179"/>
      <c r="C7" s="179"/>
      <c r="D7" s="179"/>
      <c r="E7" s="179"/>
      <c r="F7" s="179"/>
      <c r="G7" s="179"/>
      <c r="H7" s="179"/>
      <c r="I7" s="179"/>
      <c r="J7" s="179"/>
      <c r="K7" s="179"/>
      <c r="L7" s="179"/>
      <c r="M7" s="179"/>
      <c r="N7" s="179"/>
    </row>
    <row r="8" spans="1:14">
      <c r="C8" s="180"/>
      <c r="D8" s="180"/>
      <c r="E8" s="180"/>
      <c r="F8" s="180"/>
      <c r="G8" s="180"/>
      <c r="H8" s="180"/>
      <c r="I8" s="180"/>
      <c r="J8" s="180"/>
      <c r="K8" s="180"/>
      <c r="L8" s="180"/>
      <c r="M8" s="180"/>
      <c r="N8" s="180"/>
    </row>
    <row r="9" spans="1:14">
      <c r="N9" s="169" t="s">
        <v>0</v>
      </c>
    </row>
    <row r="10" spans="1:14" ht="15" customHeight="1">
      <c r="A10" s="181" t="s">
        <v>46</v>
      </c>
      <c r="B10" s="181" t="s">
        <v>47</v>
      </c>
      <c r="C10" s="181" t="s">
        <v>1</v>
      </c>
      <c r="D10" s="181" t="s">
        <v>2</v>
      </c>
      <c r="E10" s="181"/>
      <c r="F10" s="181"/>
      <c r="G10" s="195" t="s">
        <v>6</v>
      </c>
      <c r="H10" s="195"/>
      <c r="I10" s="195"/>
      <c r="J10" s="195"/>
      <c r="K10" s="195"/>
      <c r="L10" s="195"/>
      <c r="M10" s="195"/>
      <c r="N10" s="196" t="s">
        <v>11</v>
      </c>
    </row>
    <row r="11" spans="1:14">
      <c r="A11" s="181"/>
      <c r="B11" s="181"/>
      <c r="C11" s="181"/>
      <c r="D11" s="181" t="s">
        <v>3</v>
      </c>
      <c r="E11" s="195" t="s">
        <v>4</v>
      </c>
      <c r="F11" s="195"/>
      <c r="G11" s="195" t="s">
        <v>3</v>
      </c>
      <c r="H11" s="195" t="s">
        <v>7</v>
      </c>
      <c r="I11" s="195" t="s">
        <v>4</v>
      </c>
      <c r="J11" s="195"/>
      <c r="K11" s="195" t="s">
        <v>8</v>
      </c>
      <c r="L11" s="195" t="s">
        <v>4</v>
      </c>
      <c r="M11" s="195"/>
      <c r="N11" s="196"/>
    </row>
    <row r="12" spans="1:14">
      <c r="A12" s="181"/>
      <c r="B12" s="181"/>
      <c r="C12" s="181"/>
      <c r="D12" s="181"/>
      <c r="E12" s="195" t="s">
        <v>22</v>
      </c>
      <c r="F12" s="195" t="s">
        <v>5</v>
      </c>
      <c r="G12" s="195"/>
      <c r="H12" s="195"/>
      <c r="I12" s="195" t="s">
        <v>22</v>
      </c>
      <c r="J12" s="195" t="s">
        <v>5</v>
      </c>
      <c r="K12" s="195"/>
      <c r="L12" s="195" t="s">
        <v>9</v>
      </c>
      <c r="M12" s="170" t="s">
        <v>4</v>
      </c>
      <c r="N12" s="196"/>
    </row>
    <row r="13" spans="1:14" ht="75.75" customHeight="1">
      <c r="A13" s="181"/>
      <c r="B13" s="181"/>
      <c r="C13" s="181"/>
      <c r="D13" s="181"/>
      <c r="E13" s="195"/>
      <c r="F13" s="195"/>
      <c r="G13" s="195"/>
      <c r="H13" s="195"/>
      <c r="I13" s="195"/>
      <c r="J13" s="195"/>
      <c r="K13" s="195"/>
      <c r="L13" s="195"/>
      <c r="M13" s="171" t="s">
        <v>10</v>
      </c>
      <c r="N13" s="196"/>
    </row>
    <row r="14" spans="1:14">
      <c r="A14" s="12">
        <v>1</v>
      </c>
      <c r="B14" s="12">
        <v>2</v>
      </c>
      <c r="C14" s="13">
        <v>3</v>
      </c>
      <c r="D14" s="13">
        <v>4</v>
      </c>
      <c r="E14" s="144">
        <v>5</v>
      </c>
      <c r="F14" s="144">
        <v>6</v>
      </c>
      <c r="G14" s="144">
        <v>7</v>
      </c>
      <c r="H14" s="144">
        <v>8</v>
      </c>
      <c r="I14" s="144">
        <v>9</v>
      </c>
      <c r="J14" s="144">
        <v>10</v>
      </c>
      <c r="K14" s="144">
        <v>11</v>
      </c>
      <c r="L14" s="144">
        <v>12</v>
      </c>
      <c r="M14" s="144">
        <v>13</v>
      </c>
      <c r="N14" s="144" t="s">
        <v>48</v>
      </c>
    </row>
    <row r="15" spans="1:14" ht="16.5" customHeight="1">
      <c r="A15" s="14" t="s">
        <v>49</v>
      </c>
      <c r="B15" s="15"/>
      <c r="C15" s="16" t="s">
        <v>12</v>
      </c>
      <c r="D15" s="17">
        <f>D16+D17</f>
        <v>33329.300000000003</v>
      </c>
      <c r="E15" s="145">
        <f t="shared" ref="E15:M15" si="0">E16+E17</f>
        <v>27945.799999999996</v>
      </c>
      <c r="F15" s="145">
        <f t="shared" si="0"/>
        <v>1930.4</v>
      </c>
      <c r="G15" s="145">
        <f t="shared" si="0"/>
        <v>1083</v>
      </c>
      <c r="H15" s="145">
        <f t="shared" si="0"/>
        <v>160</v>
      </c>
      <c r="I15" s="145"/>
      <c r="J15" s="145"/>
      <c r="K15" s="145">
        <f t="shared" si="0"/>
        <v>923</v>
      </c>
      <c r="L15" s="145">
        <f t="shared" si="0"/>
        <v>923</v>
      </c>
      <c r="M15" s="145">
        <f t="shared" si="0"/>
        <v>923</v>
      </c>
      <c r="N15" s="145">
        <f t="shared" ref="N15:N108" si="1">D15+G15</f>
        <v>34412.300000000003</v>
      </c>
    </row>
    <row r="16" spans="1:14" s="23" customFormat="1" ht="75" customHeight="1">
      <c r="A16" s="19" t="s">
        <v>50</v>
      </c>
      <c r="B16" s="19" t="s">
        <v>52</v>
      </c>
      <c r="C16" s="20" t="s">
        <v>53</v>
      </c>
      <c r="D16" s="21">
        <f>16714.8+115.3-0.1+32.4+2817.3</f>
        <v>19679.7</v>
      </c>
      <c r="E16" s="146">
        <f>12428.3+115.3+2622.3</f>
        <v>15165.899999999998</v>
      </c>
      <c r="F16" s="146">
        <v>1771.2</v>
      </c>
      <c r="G16" s="146">
        <f>H16+K16</f>
        <v>950</v>
      </c>
      <c r="H16" s="146">
        <f>136+24</f>
        <v>160</v>
      </c>
      <c r="I16" s="146"/>
      <c r="J16" s="146"/>
      <c r="K16" s="146">
        <f>814-24</f>
        <v>790</v>
      </c>
      <c r="L16" s="146">
        <v>790</v>
      </c>
      <c r="M16" s="146">
        <v>790</v>
      </c>
      <c r="N16" s="146">
        <f t="shared" si="1"/>
        <v>20629.7</v>
      </c>
    </row>
    <row r="17" spans="1:14" s="23" customFormat="1" ht="50.25" customHeight="1">
      <c r="A17" s="19" t="s">
        <v>51</v>
      </c>
      <c r="B17" s="19" t="s">
        <v>52</v>
      </c>
      <c r="C17" s="3" t="s">
        <v>54</v>
      </c>
      <c r="D17" s="21">
        <f>12067.1+2.6+0.1+1579.8</f>
        <v>13649.6</v>
      </c>
      <c r="E17" s="146">
        <f>11197.5+2.6+1579.8</f>
        <v>12779.9</v>
      </c>
      <c r="F17" s="146">
        <v>159.20000000000002</v>
      </c>
      <c r="G17" s="146">
        <f>H17+K17</f>
        <v>133</v>
      </c>
      <c r="H17" s="146"/>
      <c r="I17" s="146"/>
      <c r="J17" s="146"/>
      <c r="K17" s="146">
        <f>53+80</f>
        <v>133</v>
      </c>
      <c r="L17" s="146">
        <f>53+80</f>
        <v>133</v>
      </c>
      <c r="M17" s="146">
        <f>53+80</f>
        <v>133</v>
      </c>
      <c r="N17" s="146">
        <f t="shared" si="1"/>
        <v>13782.6</v>
      </c>
    </row>
    <row r="18" spans="1:14" ht="15" customHeight="1">
      <c r="A18" s="14" t="s">
        <v>55</v>
      </c>
      <c r="B18" s="15"/>
      <c r="C18" s="16" t="s">
        <v>13</v>
      </c>
      <c r="D18" s="17">
        <f>D19+D20+D22+D24+D25+D27+D28+D29+D30+D31+D32</f>
        <v>175553.05125000002</v>
      </c>
      <c r="E18" s="145">
        <f>E19+E20+E22+E24+E25+E27+E28+E29+E30+E31+E32</f>
        <v>143764.4</v>
      </c>
      <c r="F18" s="145">
        <f>F19+F20+F22+F24+F25+F27+F28+F29+F30+F31+F32</f>
        <v>17132.600000000006</v>
      </c>
      <c r="G18" s="145">
        <f>H18+K18</f>
        <v>16268.240000000002</v>
      </c>
      <c r="H18" s="145">
        <f t="shared" ref="H18:M18" si="2">H19+H20+H22+H24+H25+H27+H28+H29+H30+H31+H32</f>
        <v>7934.2400000000007</v>
      </c>
      <c r="I18" s="145">
        <f t="shared" si="2"/>
        <v>89.12299999999999</v>
      </c>
      <c r="J18" s="145">
        <f t="shared" si="2"/>
        <v>0</v>
      </c>
      <c r="K18" s="145">
        <f t="shared" si="2"/>
        <v>8334</v>
      </c>
      <c r="L18" s="145">
        <f t="shared" si="2"/>
        <v>8294.5</v>
      </c>
      <c r="M18" s="145">
        <f t="shared" si="2"/>
        <v>8294.5</v>
      </c>
      <c r="N18" s="145">
        <f t="shared" si="1"/>
        <v>191821.29125000001</v>
      </c>
    </row>
    <row r="19" spans="1:14" ht="16.5" customHeight="1">
      <c r="A19" s="15" t="s">
        <v>57</v>
      </c>
      <c r="B19" s="15" t="s">
        <v>56</v>
      </c>
      <c r="C19" s="24" t="s">
        <v>58</v>
      </c>
      <c r="D19" s="25">
        <f>51989.6+100+4537.4+300+3339.2</f>
        <v>60266.2</v>
      </c>
      <c r="E19" s="146">
        <f>37039.4+4537.4+3339.2</f>
        <v>44916</v>
      </c>
      <c r="F19" s="146">
        <v>7364.2</v>
      </c>
      <c r="G19" s="146">
        <f>H19+K19</f>
        <v>10679.1</v>
      </c>
      <c r="H19" s="146">
        <v>7379.1</v>
      </c>
      <c r="I19" s="146"/>
      <c r="J19" s="146"/>
      <c r="K19" s="146">
        <f>1000+2300</f>
        <v>3300</v>
      </c>
      <c r="L19" s="146">
        <f>1000+2300</f>
        <v>3300</v>
      </c>
      <c r="M19" s="146">
        <f>1000+2300</f>
        <v>3300</v>
      </c>
      <c r="N19" s="146">
        <f t="shared" si="1"/>
        <v>70945.3</v>
      </c>
    </row>
    <row r="20" spans="1:14" ht="78" customHeight="1">
      <c r="A20" s="15" t="s">
        <v>59</v>
      </c>
      <c r="B20" s="15" t="s">
        <v>60</v>
      </c>
      <c r="C20" s="3" t="s">
        <v>61</v>
      </c>
      <c r="D20" s="73">
        <f>73180.3+11325.7+1309.25125+5685.1</f>
        <v>91500.351250000007</v>
      </c>
      <c r="E20" s="146">
        <f>61913+11325.7+4.2+5685.1</f>
        <v>78928</v>
      </c>
      <c r="F20" s="146">
        <v>8687.5</v>
      </c>
      <c r="G20" s="146">
        <f>H20+K20</f>
        <v>4470.1400000000003</v>
      </c>
      <c r="H20" s="146">
        <f>383.2+86.94</f>
        <v>470.14</v>
      </c>
      <c r="I20" s="146">
        <f>22.3+66.823</f>
        <v>89.12299999999999</v>
      </c>
      <c r="J20" s="146"/>
      <c r="K20" s="146">
        <f>1500+2500</f>
        <v>4000</v>
      </c>
      <c r="L20" s="146">
        <f>1500+2500</f>
        <v>4000</v>
      </c>
      <c r="M20" s="146">
        <f>1500+2500</f>
        <v>4000</v>
      </c>
      <c r="N20" s="146">
        <f t="shared" si="1"/>
        <v>95970.491250000006</v>
      </c>
    </row>
    <row r="21" spans="1:14" s="23" customFormat="1" ht="57" customHeight="1">
      <c r="A21" s="19"/>
      <c r="B21" s="19"/>
      <c r="C21" s="26" t="s">
        <v>42</v>
      </c>
      <c r="D21" s="27">
        <f>56107+11325.7+4.2</f>
        <v>67436.899999999994</v>
      </c>
      <c r="E21" s="147">
        <f>56107+11325.7+4.2</f>
        <v>67436.899999999994</v>
      </c>
      <c r="F21" s="147"/>
      <c r="G21" s="147"/>
      <c r="H21" s="147"/>
      <c r="I21" s="147"/>
      <c r="J21" s="147"/>
      <c r="K21" s="147"/>
      <c r="L21" s="147"/>
      <c r="M21" s="147"/>
      <c r="N21" s="147">
        <f t="shared" si="1"/>
        <v>67436.899999999994</v>
      </c>
    </row>
    <row r="22" spans="1:14" s="23" customFormat="1" ht="28.5" customHeight="1">
      <c r="A22" s="19" t="s">
        <v>62</v>
      </c>
      <c r="B22" s="19" t="s">
        <v>60</v>
      </c>
      <c r="C22" s="3" t="s">
        <v>63</v>
      </c>
      <c r="D22" s="21">
        <f>444.7+71.4</f>
        <v>516.1</v>
      </c>
      <c r="E22" s="146">
        <f>390.3+71.4</f>
        <v>461.70000000000005</v>
      </c>
      <c r="F22" s="146">
        <v>50.1</v>
      </c>
      <c r="G22" s="146"/>
      <c r="H22" s="146"/>
      <c r="I22" s="146"/>
      <c r="J22" s="146"/>
      <c r="K22" s="146"/>
      <c r="L22" s="146"/>
      <c r="M22" s="146"/>
      <c r="N22" s="146">
        <f t="shared" si="1"/>
        <v>516.1</v>
      </c>
    </row>
    <row r="23" spans="1:14" s="23" customFormat="1" ht="67.5" customHeight="1">
      <c r="A23" s="19"/>
      <c r="B23" s="19"/>
      <c r="C23" s="26" t="s">
        <v>42</v>
      </c>
      <c r="D23" s="27">
        <f>352.5+71.4</f>
        <v>423.9</v>
      </c>
      <c r="E23" s="147">
        <f>352.5+71.4</f>
        <v>423.9</v>
      </c>
      <c r="F23" s="147"/>
      <c r="G23" s="147"/>
      <c r="H23" s="147"/>
      <c r="I23" s="147"/>
      <c r="J23" s="147"/>
      <c r="K23" s="147"/>
      <c r="L23" s="147"/>
      <c r="M23" s="147"/>
      <c r="N23" s="147">
        <f t="shared" si="1"/>
        <v>423.9</v>
      </c>
    </row>
    <row r="24" spans="1:14" s="23" customFormat="1" ht="87" customHeight="1">
      <c r="A24" s="19" t="s">
        <v>64</v>
      </c>
      <c r="B24" s="19" t="s">
        <v>56</v>
      </c>
      <c r="C24" s="28" t="s">
        <v>65</v>
      </c>
      <c r="D24" s="21">
        <v>460</v>
      </c>
      <c r="E24" s="146"/>
      <c r="F24" s="146"/>
      <c r="G24" s="146"/>
      <c r="H24" s="146"/>
      <c r="I24" s="146"/>
      <c r="J24" s="146"/>
      <c r="K24" s="146"/>
      <c r="L24" s="146"/>
      <c r="M24" s="146"/>
      <c r="N24" s="146">
        <f t="shared" si="1"/>
        <v>460</v>
      </c>
    </row>
    <row r="25" spans="1:14" s="23" customFormat="1" ht="74.25" customHeight="1">
      <c r="A25" s="19" t="s">
        <v>144</v>
      </c>
      <c r="B25" s="19" t="s">
        <v>66</v>
      </c>
      <c r="C25" s="3" t="s">
        <v>256</v>
      </c>
      <c r="D25" s="21">
        <f>6483.6+989.8+80+356.9</f>
        <v>7910.3</v>
      </c>
      <c r="E25" s="146">
        <f>5438.2+989.8+356.9</f>
        <v>6784.9</v>
      </c>
      <c r="F25" s="146">
        <v>439.6</v>
      </c>
      <c r="G25" s="146">
        <f>H25+K25</f>
        <v>0</v>
      </c>
      <c r="H25" s="146"/>
      <c r="I25" s="146"/>
      <c r="J25" s="146"/>
      <c r="K25" s="146"/>
      <c r="L25" s="146"/>
      <c r="M25" s="146"/>
      <c r="N25" s="146">
        <f t="shared" si="1"/>
        <v>7910.3</v>
      </c>
    </row>
    <row r="26" spans="1:14" s="23" customFormat="1" ht="62.25" customHeight="1">
      <c r="A26" s="19"/>
      <c r="B26" s="19"/>
      <c r="C26" s="26" t="s">
        <v>42</v>
      </c>
      <c r="D26" s="21">
        <f>4623+989.8</f>
        <v>5612.8</v>
      </c>
      <c r="E26" s="146">
        <f>4623+989.8</f>
        <v>5612.8</v>
      </c>
      <c r="F26" s="146"/>
      <c r="G26" s="146"/>
      <c r="H26" s="146"/>
      <c r="I26" s="146"/>
      <c r="J26" s="146"/>
      <c r="K26" s="146"/>
      <c r="L26" s="146"/>
      <c r="M26" s="146"/>
      <c r="N26" s="147">
        <f t="shared" si="1"/>
        <v>5612.8</v>
      </c>
    </row>
    <row r="27" spans="1:14" ht="48" customHeight="1">
      <c r="A27" s="15" t="s">
        <v>67</v>
      </c>
      <c r="B27" s="15" t="s">
        <v>68</v>
      </c>
      <c r="C27" s="3" t="s">
        <v>69</v>
      </c>
      <c r="D27" s="25">
        <f>8181.8-100+1392.2+98</f>
        <v>9572</v>
      </c>
      <c r="E27" s="146">
        <f>6961+1392.2</f>
        <v>8353.2000000000007</v>
      </c>
      <c r="F27" s="146">
        <v>281.89999999999998</v>
      </c>
      <c r="G27" s="146">
        <f>H27+K27</f>
        <v>889</v>
      </c>
      <c r="H27" s="146">
        <v>85</v>
      </c>
      <c r="I27" s="146"/>
      <c r="J27" s="146"/>
      <c r="K27" s="146">
        <f>39.5+764.5</f>
        <v>804</v>
      </c>
      <c r="L27" s="146">
        <v>764.5</v>
      </c>
      <c r="M27" s="146">
        <v>764.5</v>
      </c>
      <c r="N27" s="146">
        <f t="shared" si="1"/>
        <v>10461</v>
      </c>
    </row>
    <row r="28" spans="1:14" ht="36" customHeight="1">
      <c r="A28" s="15" t="s">
        <v>70</v>
      </c>
      <c r="B28" s="15" t="s">
        <v>71</v>
      </c>
      <c r="C28" s="24" t="s">
        <v>72</v>
      </c>
      <c r="D28" s="25">
        <v>95.5</v>
      </c>
      <c r="E28" s="146"/>
      <c r="F28" s="146"/>
      <c r="G28" s="146"/>
      <c r="H28" s="146"/>
      <c r="I28" s="146"/>
      <c r="J28" s="146"/>
      <c r="K28" s="146"/>
      <c r="L28" s="146"/>
      <c r="M28" s="146"/>
      <c r="N28" s="146">
        <f t="shared" si="1"/>
        <v>95.5</v>
      </c>
    </row>
    <row r="29" spans="1:14" ht="37.5" customHeight="1">
      <c r="A29" s="15" t="s">
        <v>73</v>
      </c>
      <c r="B29" s="15" t="s">
        <v>74</v>
      </c>
      <c r="C29" s="3" t="s">
        <v>75</v>
      </c>
      <c r="D29" s="25">
        <f>1693.9+307.1+14</f>
        <v>2015</v>
      </c>
      <c r="E29" s="146">
        <f>1535.3+307.1</f>
        <v>1842.4</v>
      </c>
      <c r="F29" s="146">
        <v>17.399999999999999</v>
      </c>
      <c r="G29" s="146">
        <f>H29+K29</f>
        <v>80</v>
      </c>
      <c r="H29" s="146"/>
      <c r="I29" s="146"/>
      <c r="J29" s="146"/>
      <c r="K29" s="146">
        <v>80</v>
      </c>
      <c r="L29" s="146">
        <v>80</v>
      </c>
      <c r="M29" s="146">
        <v>80</v>
      </c>
      <c r="N29" s="146">
        <f t="shared" si="1"/>
        <v>2095</v>
      </c>
    </row>
    <row r="30" spans="1:14" ht="21" customHeight="1">
      <c r="A30" s="15" t="s">
        <v>76</v>
      </c>
      <c r="B30" s="15" t="s">
        <v>74</v>
      </c>
      <c r="C30" s="3" t="s">
        <v>77</v>
      </c>
      <c r="D30" s="25">
        <f>1596.1+294.4</f>
        <v>1890.5</v>
      </c>
      <c r="E30" s="146">
        <f>1472+294.4</f>
        <v>1766.4</v>
      </c>
      <c r="F30" s="146">
        <v>39.200000000000003</v>
      </c>
      <c r="G30" s="146"/>
      <c r="H30" s="146"/>
      <c r="I30" s="146"/>
      <c r="J30" s="146"/>
      <c r="K30" s="146"/>
      <c r="L30" s="146"/>
      <c r="M30" s="146"/>
      <c r="N30" s="146">
        <f t="shared" si="1"/>
        <v>1890.5</v>
      </c>
    </row>
    <row r="31" spans="1:14" ht="30" customHeight="1">
      <c r="A31" s="15" t="s">
        <v>78</v>
      </c>
      <c r="B31" s="15" t="s">
        <v>74</v>
      </c>
      <c r="C31" s="3" t="s">
        <v>79</v>
      </c>
      <c r="D31" s="25">
        <f>1180.9+118.6</f>
        <v>1299.5</v>
      </c>
      <c r="E31" s="146">
        <f>593.2+118.6</f>
        <v>711.80000000000007</v>
      </c>
      <c r="F31" s="146">
        <v>252.7</v>
      </c>
      <c r="G31" s="146">
        <f>H31+K31</f>
        <v>150</v>
      </c>
      <c r="H31" s="146"/>
      <c r="I31" s="146"/>
      <c r="J31" s="146"/>
      <c r="K31" s="146">
        <v>150</v>
      </c>
      <c r="L31" s="146">
        <v>150</v>
      </c>
      <c r="M31" s="146">
        <v>150</v>
      </c>
      <c r="N31" s="146">
        <f t="shared" si="1"/>
        <v>1449.5</v>
      </c>
    </row>
    <row r="32" spans="1:14" ht="43.5" customHeight="1">
      <c r="A32" s="15" t="s">
        <v>80</v>
      </c>
      <c r="B32" s="15" t="s">
        <v>74</v>
      </c>
      <c r="C32" s="3" t="s">
        <v>81</v>
      </c>
      <c r="D32" s="25">
        <v>27.6</v>
      </c>
      <c r="E32" s="146"/>
      <c r="F32" s="146"/>
      <c r="G32" s="146"/>
      <c r="H32" s="146"/>
      <c r="I32" s="146"/>
      <c r="J32" s="146"/>
      <c r="K32" s="146"/>
      <c r="L32" s="146"/>
      <c r="M32" s="146"/>
      <c r="N32" s="146">
        <f t="shared" si="1"/>
        <v>27.6</v>
      </c>
    </row>
    <row r="33" spans="1:16" s="30" customFormat="1">
      <c r="A33" s="14" t="s">
        <v>82</v>
      </c>
      <c r="B33" s="14"/>
      <c r="C33" s="29" t="s">
        <v>43</v>
      </c>
      <c r="D33" s="17">
        <f>D34+D35</f>
        <v>97148.4</v>
      </c>
      <c r="E33" s="145">
        <f>E34+E35</f>
        <v>75134.899999999994</v>
      </c>
      <c r="F33" s="145">
        <f>F34+F35</f>
        <v>6597.9</v>
      </c>
      <c r="G33" s="145">
        <f>H33+K33</f>
        <v>16165.168650000001</v>
      </c>
      <c r="H33" s="145">
        <f t="shared" ref="H33:M33" si="3">H34+H35</f>
        <v>8085.6676500000012</v>
      </c>
      <c r="I33" s="145">
        <f t="shared" si="3"/>
        <v>4799</v>
      </c>
      <c r="J33" s="145">
        <f t="shared" si="3"/>
        <v>488.09999999999997</v>
      </c>
      <c r="K33" s="145">
        <f t="shared" si="3"/>
        <v>8079.5010000000002</v>
      </c>
      <c r="L33" s="145">
        <f t="shared" si="3"/>
        <v>8000</v>
      </c>
      <c r="M33" s="145">
        <f t="shared" si="3"/>
        <v>8000</v>
      </c>
      <c r="N33" s="167">
        <f t="shared" ref="N33:N38" si="4">D33+G33</f>
        <v>113313.56865</v>
      </c>
    </row>
    <row r="34" spans="1:16" ht="34.5" customHeight="1">
      <c r="A34" s="15" t="s">
        <v>83</v>
      </c>
      <c r="B34" s="15" t="s">
        <v>84</v>
      </c>
      <c r="C34" s="28" t="s">
        <v>85</v>
      </c>
      <c r="D34" s="31">
        <f>83236+4930.2</f>
        <v>88166.2</v>
      </c>
      <c r="E34" s="148">
        <f>63440+4153.5</f>
        <v>67593.5</v>
      </c>
      <c r="F34" s="148">
        <v>6389.5</v>
      </c>
      <c r="G34" s="148">
        <f>H34+K34</f>
        <v>12449.91865</v>
      </c>
      <c r="H34" s="148">
        <f>3145.8+974.98353+264.63412</f>
        <v>4385.4176500000003</v>
      </c>
      <c r="I34" s="148">
        <v>2191.3000000000002</v>
      </c>
      <c r="J34" s="148">
        <v>299.89999999999998</v>
      </c>
      <c r="K34" s="148">
        <f>2500+5500+14.501+50</f>
        <v>8064.5010000000002</v>
      </c>
      <c r="L34" s="148">
        <f>2500+5500</f>
        <v>8000</v>
      </c>
      <c r="M34" s="148">
        <f>2500+5500</f>
        <v>8000</v>
      </c>
      <c r="N34" s="148">
        <f t="shared" si="4"/>
        <v>100616.11864999999</v>
      </c>
    </row>
    <row r="35" spans="1:16" ht="33.75" customHeight="1">
      <c r="A35" s="15" t="s">
        <v>86</v>
      </c>
      <c r="B35" s="15" t="s">
        <v>87</v>
      </c>
      <c r="C35" s="28" t="s">
        <v>88</v>
      </c>
      <c r="D35" s="31">
        <f>6761.8+2220.4</f>
        <v>8982.2000000000007</v>
      </c>
      <c r="E35" s="148">
        <f>5368+2173.4</f>
        <v>7541.4</v>
      </c>
      <c r="F35" s="148">
        <v>208.4</v>
      </c>
      <c r="G35" s="148">
        <f>H35+K35</f>
        <v>3715.2500000000005</v>
      </c>
      <c r="H35" s="148">
        <f>3092.9+600.2+7.15</f>
        <v>3700.2500000000005</v>
      </c>
      <c r="I35" s="148">
        <f>2007.5+600.2</f>
        <v>2607.6999999999998</v>
      </c>
      <c r="J35" s="148">
        <v>188.2</v>
      </c>
      <c r="K35" s="148">
        <v>15</v>
      </c>
      <c r="L35" s="148"/>
      <c r="M35" s="148"/>
      <c r="N35" s="148">
        <f t="shared" si="4"/>
        <v>12697.45</v>
      </c>
    </row>
    <row r="36" spans="1:16" ht="32.25" customHeight="1">
      <c r="A36" s="14" t="s">
        <v>89</v>
      </c>
      <c r="B36" s="15"/>
      <c r="C36" s="16" t="s">
        <v>14</v>
      </c>
      <c r="D36" s="32">
        <f t="shared" ref="D36:M36" si="5">D37+D45+D52+D57+D67+D68+D70+D72+D76+D78+D79+D81+D82+D84</f>
        <v>136439.54454999999</v>
      </c>
      <c r="E36" s="145">
        <f t="shared" si="5"/>
        <v>5692.6</v>
      </c>
      <c r="F36" s="145">
        <f t="shared" si="5"/>
        <v>121.3</v>
      </c>
      <c r="G36" s="145">
        <f t="shared" si="5"/>
        <v>26</v>
      </c>
      <c r="H36" s="145">
        <f t="shared" si="5"/>
        <v>12</v>
      </c>
      <c r="I36" s="145">
        <f t="shared" si="5"/>
        <v>0</v>
      </c>
      <c r="J36" s="145">
        <f t="shared" si="5"/>
        <v>0</v>
      </c>
      <c r="K36" s="145">
        <f t="shared" si="5"/>
        <v>14</v>
      </c>
      <c r="L36" s="145">
        <f t="shared" si="5"/>
        <v>14</v>
      </c>
      <c r="M36" s="145">
        <f t="shared" si="5"/>
        <v>14</v>
      </c>
      <c r="N36" s="153">
        <f t="shared" si="4"/>
        <v>136465.54454999999</v>
      </c>
      <c r="P36" s="34" t="e">
        <f>#REF!+#REF!+#REF!+#REF!+#REF!+#REF!+#REF!+#REF!+#REF!+N80+N81+N83</f>
        <v>#REF!</v>
      </c>
    </row>
    <row r="37" spans="1:16" s="30" customFormat="1" ht="110.25" customHeight="1">
      <c r="A37" s="14" t="s">
        <v>90</v>
      </c>
      <c r="B37" s="14"/>
      <c r="C37" s="35" t="s">
        <v>91</v>
      </c>
      <c r="D37" s="17">
        <f>D38+D39+D40+D41+D42+D43+D44</f>
        <v>28016.644549999997</v>
      </c>
      <c r="E37" s="145">
        <f t="shared" ref="E37:M37" si="6">E38+E39+E40+E41+E42+E43+E44</f>
        <v>0</v>
      </c>
      <c r="F37" s="145">
        <f t="shared" si="6"/>
        <v>0</v>
      </c>
      <c r="G37" s="145">
        <f t="shared" si="6"/>
        <v>0</v>
      </c>
      <c r="H37" s="145">
        <f t="shared" si="6"/>
        <v>0</v>
      </c>
      <c r="I37" s="145">
        <f t="shared" si="6"/>
        <v>0</v>
      </c>
      <c r="J37" s="145">
        <f t="shared" si="6"/>
        <v>0</v>
      </c>
      <c r="K37" s="145">
        <f t="shared" si="6"/>
        <v>0</v>
      </c>
      <c r="L37" s="145">
        <f t="shared" si="6"/>
        <v>0</v>
      </c>
      <c r="M37" s="145">
        <f t="shared" si="6"/>
        <v>0</v>
      </c>
      <c r="N37" s="153">
        <f t="shared" si="4"/>
        <v>28016.644549999997</v>
      </c>
      <c r="P37" s="36"/>
    </row>
    <row r="38" spans="1:16" ht="312" customHeight="1">
      <c r="A38" s="15" t="s">
        <v>92</v>
      </c>
      <c r="B38" s="15" t="s">
        <v>62</v>
      </c>
      <c r="C38" s="37" t="s">
        <v>257</v>
      </c>
      <c r="D38" s="25">
        <f>4585.7+149.90399</f>
        <v>4735.6039899999996</v>
      </c>
      <c r="E38" s="146"/>
      <c r="F38" s="146"/>
      <c r="G38" s="146"/>
      <c r="H38" s="146"/>
      <c r="I38" s="146"/>
      <c r="J38" s="146"/>
      <c r="K38" s="146"/>
      <c r="L38" s="146"/>
      <c r="M38" s="146"/>
      <c r="N38" s="152">
        <f t="shared" si="4"/>
        <v>4735.6039899999996</v>
      </c>
    </row>
    <row r="39" spans="1:16" ht="408.75" customHeight="1">
      <c r="A39" s="15" t="s">
        <v>176</v>
      </c>
      <c r="B39" s="15" t="s">
        <v>62</v>
      </c>
      <c r="C39" s="38" t="s">
        <v>177</v>
      </c>
      <c r="D39" s="25">
        <f>910+1.86302</f>
        <v>911.86302000000001</v>
      </c>
      <c r="E39" s="146"/>
      <c r="F39" s="146"/>
      <c r="G39" s="146"/>
      <c r="H39" s="146"/>
      <c r="I39" s="146"/>
      <c r="J39" s="146"/>
      <c r="K39" s="146"/>
      <c r="L39" s="146"/>
      <c r="M39" s="146"/>
      <c r="N39" s="146"/>
    </row>
    <row r="40" spans="1:16" ht="105.75" customHeight="1">
      <c r="A40" s="15" t="s">
        <v>178</v>
      </c>
      <c r="B40" s="15" t="s">
        <v>144</v>
      </c>
      <c r="C40" s="37" t="s">
        <v>179</v>
      </c>
      <c r="D40" s="25">
        <f>222.3+17.39368</f>
        <v>239.69368</v>
      </c>
      <c r="E40" s="146"/>
      <c r="F40" s="146"/>
      <c r="G40" s="146"/>
      <c r="H40" s="146"/>
      <c r="I40" s="146"/>
      <c r="J40" s="146"/>
      <c r="K40" s="146"/>
      <c r="L40" s="146"/>
      <c r="M40" s="146"/>
      <c r="N40" s="146"/>
    </row>
    <row r="41" spans="1:16" ht="244.5" customHeight="1">
      <c r="A41" s="15" t="s">
        <v>184</v>
      </c>
      <c r="B41" s="15" t="s">
        <v>144</v>
      </c>
      <c r="C41" s="37" t="s">
        <v>258</v>
      </c>
      <c r="D41" s="25">
        <f>169.6-60.90143</f>
        <v>108.69856999999999</v>
      </c>
      <c r="E41" s="146"/>
      <c r="F41" s="146"/>
      <c r="G41" s="146"/>
      <c r="H41" s="146"/>
      <c r="I41" s="146"/>
      <c r="J41" s="146"/>
      <c r="K41" s="146"/>
      <c r="L41" s="146"/>
      <c r="M41" s="146"/>
      <c r="N41" s="146">
        <f>D41+G41</f>
        <v>108.69856999999999</v>
      </c>
    </row>
    <row r="42" spans="1:16" ht="37.5" customHeight="1">
      <c r="A42" s="15" t="s">
        <v>188</v>
      </c>
      <c r="B42" s="15" t="s">
        <v>144</v>
      </c>
      <c r="C42" s="37" t="s">
        <v>189</v>
      </c>
      <c r="D42" s="25">
        <f>607.7-106.31077</f>
        <v>501.38923000000005</v>
      </c>
      <c r="E42" s="146"/>
      <c r="F42" s="146"/>
      <c r="G42" s="146"/>
      <c r="H42" s="146"/>
      <c r="I42" s="146"/>
      <c r="J42" s="146"/>
      <c r="K42" s="146"/>
      <c r="L42" s="146"/>
      <c r="M42" s="146"/>
      <c r="N42" s="146">
        <f t="shared" ref="N42:N52" si="7">D42+G42</f>
        <v>501.38923000000005</v>
      </c>
    </row>
    <row r="43" spans="1:16" ht="54" customHeight="1">
      <c r="A43" s="15" t="s">
        <v>211</v>
      </c>
      <c r="B43" s="15" t="s">
        <v>64</v>
      </c>
      <c r="C43" s="37" t="s">
        <v>212</v>
      </c>
      <c r="D43" s="25">
        <f>16589.5+2588.2+2341.69606</f>
        <v>21519.396059999999</v>
      </c>
      <c r="E43" s="146"/>
      <c r="F43" s="146"/>
      <c r="G43" s="146"/>
      <c r="H43" s="146"/>
      <c r="I43" s="146"/>
      <c r="J43" s="146"/>
      <c r="K43" s="146"/>
      <c r="L43" s="146"/>
      <c r="M43" s="146"/>
      <c r="N43" s="146">
        <f t="shared" si="7"/>
        <v>21519.396059999999</v>
      </c>
    </row>
    <row r="44" spans="1:16" ht="62.4">
      <c r="A44" s="15" t="s">
        <v>215</v>
      </c>
      <c r="B44" s="15" t="s">
        <v>64</v>
      </c>
      <c r="C44" s="37" t="s">
        <v>216</v>
      </c>
      <c r="D44" s="25">
        <v>0</v>
      </c>
      <c r="E44" s="146"/>
      <c r="F44" s="146"/>
      <c r="G44" s="146"/>
      <c r="H44" s="146"/>
      <c r="I44" s="146"/>
      <c r="J44" s="146"/>
      <c r="K44" s="146"/>
      <c r="L44" s="146"/>
      <c r="M44" s="146"/>
      <c r="N44" s="146">
        <f t="shared" si="7"/>
        <v>0</v>
      </c>
    </row>
    <row r="45" spans="1:16" s="30" customFormat="1" ht="46.8">
      <c r="A45" s="14" t="s">
        <v>93</v>
      </c>
      <c r="B45" s="14"/>
      <c r="C45" s="35" t="s">
        <v>94</v>
      </c>
      <c r="D45" s="17">
        <f>D46+D47+D48+D49+D50+D51</f>
        <v>129.80000000000001</v>
      </c>
      <c r="E45" s="145">
        <f t="shared" ref="E45:M45" si="8">E46+E47+E48+E49+E50+E51</f>
        <v>0</v>
      </c>
      <c r="F45" s="145">
        <f t="shared" si="8"/>
        <v>0</v>
      </c>
      <c r="G45" s="145">
        <f t="shared" si="8"/>
        <v>0</v>
      </c>
      <c r="H45" s="145">
        <f t="shared" si="8"/>
        <v>0</v>
      </c>
      <c r="I45" s="145">
        <f t="shared" si="8"/>
        <v>0</v>
      </c>
      <c r="J45" s="145">
        <f t="shared" si="8"/>
        <v>0</v>
      </c>
      <c r="K45" s="145">
        <f t="shared" si="8"/>
        <v>0</v>
      </c>
      <c r="L45" s="145">
        <f t="shared" si="8"/>
        <v>0</v>
      </c>
      <c r="M45" s="145">
        <f t="shared" si="8"/>
        <v>0</v>
      </c>
      <c r="N45" s="145">
        <f t="shared" si="7"/>
        <v>129.80000000000001</v>
      </c>
    </row>
    <row r="46" spans="1:16" ht="248.25" customHeight="1">
      <c r="A46" s="15" t="s">
        <v>95</v>
      </c>
      <c r="B46" s="15" t="s">
        <v>62</v>
      </c>
      <c r="C46" s="37" t="s">
        <v>259</v>
      </c>
      <c r="D46" s="25">
        <f>26.5-4</f>
        <v>22.5</v>
      </c>
      <c r="E46" s="146"/>
      <c r="F46" s="146"/>
      <c r="G46" s="146"/>
      <c r="H46" s="146"/>
      <c r="I46" s="146"/>
      <c r="J46" s="146"/>
      <c r="K46" s="146"/>
      <c r="L46" s="146"/>
      <c r="M46" s="146"/>
      <c r="N46" s="146">
        <f t="shared" si="7"/>
        <v>22.5</v>
      </c>
    </row>
    <row r="47" spans="1:16" ht="117.75" customHeight="1">
      <c r="A47" s="15" t="s">
        <v>180</v>
      </c>
      <c r="B47" s="15" t="s">
        <v>144</v>
      </c>
      <c r="C47" s="37" t="s">
        <v>181</v>
      </c>
      <c r="D47" s="25">
        <f>2-2</f>
        <v>0</v>
      </c>
      <c r="E47" s="146"/>
      <c r="F47" s="146"/>
      <c r="G47" s="146"/>
      <c r="H47" s="146"/>
      <c r="I47" s="146"/>
      <c r="J47" s="146"/>
      <c r="K47" s="146"/>
      <c r="L47" s="146"/>
      <c r="M47" s="146"/>
      <c r="N47" s="146">
        <f t="shared" si="7"/>
        <v>0</v>
      </c>
    </row>
    <row r="48" spans="1:16" ht="234">
      <c r="A48" s="15" t="s">
        <v>185</v>
      </c>
      <c r="B48" s="15" t="s">
        <v>144</v>
      </c>
      <c r="C48" s="37" t="s">
        <v>260</v>
      </c>
      <c r="D48" s="25">
        <f>4-4</f>
        <v>0</v>
      </c>
      <c r="E48" s="146"/>
      <c r="F48" s="146"/>
      <c r="G48" s="146"/>
      <c r="H48" s="146"/>
      <c r="I48" s="146"/>
      <c r="J48" s="146"/>
      <c r="K48" s="146"/>
      <c r="L48" s="146"/>
      <c r="M48" s="146"/>
      <c r="N48" s="146">
        <f t="shared" si="7"/>
        <v>0</v>
      </c>
    </row>
    <row r="49" spans="1:14" ht="46.8">
      <c r="A49" s="15" t="s">
        <v>190</v>
      </c>
      <c r="B49" s="15" t="s">
        <v>144</v>
      </c>
      <c r="C49" s="37" t="s">
        <v>191</v>
      </c>
      <c r="D49" s="25">
        <v>6.4</v>
      </c>
      <c r="E49" s="146"/>
      <c r="F49" s="146"/>
      <c r="G49" s="146"/>
      <c r="H49" s="146"/>
      <c r="I49" s="146"/>
      <c r="J49" s="146"/>
      <c r="K49" s="146"/>
      <c r="L49" s="146"/>
      <c r="M49" s="146"/>
      <c r="N49" s="146">
        <f t="shared" si="7"/>
        <v>6.4</v>
      </c>
    </row>
    <row r="50" spans="1:14" ht="66" customHeight="1">
      <c r="A50" s="15" t="s">
        <v>213</v>
      </c>
      <c r="B50" s="15" t="s">
        <v>64</v>
      </c>
      <c r="C50" s="37" t="s">
        <v>214</v>
      </c>
      <c r="D50" s="25">
        <v>100.9</v>
      </c>
      <c r="E50" s="146"/>
      <c r="F50" s="146"/>
      <c r="G50" s="146"/>
      <c r="H50" s="146"/>
      <c r="I50" s="146"/>
      <c r="J50" s="146"/>
      <c r="K50" s="146"/>
      <c r="L50" s="146"/>
      <c r="M50" s="146"/>
      <c r="N50" s="146">
        <f t="shared" si="7"/>
        <v>100.9</v>
      </c>
    </row>
    <row r="51" spans="1:14" ht="102.75" customHeight="1">
      <c r="A51" s="15" t="s">
        <v>218</v>
      </c>
      <c r="B51" s="15" t="s">
        <v>64</v>
      </c>
      <c r="C51" s="37" t="s">
        <v>261</v>
      </c>
      <c r="D51" s="25"/>
      <c r="E51" s="146"/>
      <c r="F51" s="146"/>
      <c r="G51" s="146"/>
      <c r="H51" s="146"/>
      <c r="I51" s="146"/>
      <c r="J51" s="146"/>
      <c r="K51" s="146"/>
      <c r="L51" s="146"/>
      <c r="M51" s="146"/>
      <c r="N51" s="146">
        <f t="shared" si="7"/>
        <v>0</v>
      </c>
    </row>
    <row r="52" spans="1:14" s="30" customFormat="1" ht="229.5" customHeight="1">
      <c r="A52" s="14" t="s">
        <v>141</v>
      </c>
      <c r="B52" s="39" t="s">
        <v>62</v>
      </c>
      <c r="C52" s="40" t="s">
        <v>142</v>
      </c>
      <c r="D52" s="17">
        <f>D53+D54+D55+D56</f>
        <v>925</v>
      </c>
      <c r="E52" s="145">
        <f t="shared" ref="E52:M52" si="9">E53+E54+E55+E56</f>
        <v>0</v>
      </c>
      <c r="F52" s="145">
        <f t="shared" si="9"/>
        <v>0</v>
      </c>
      <c r="G52" s="145">
        <f t="shared" si="9"/>
        <v>0</v>
      </c>
      <c r="H52" s="145">
        <f t="shared" si="9"/>
        <v>0</v>
      </c>
      <c r="I52" s="145">
        <f t="shared" si="9"/>
        <v>0</v>
      </c>
      <c r="J52" s="145">
        <f t="shared" si="9"/>
        <v>0</v>
      </c>
      <c r="K52" s="145">
        <f t="shared" si="9"/>
        <v>0</v>
      </c>
      <c r="L52" s="145">
        <f t="shared" si="9"/>
        <v>0</v>
      </c>
      <c r="M52" s="145">
        <f t="shared" si="9"/>
        <v>0</v>
      </c>
      <c r="N52" s="145">
        <f t="shared" si="7"/>
        <v>925</v>
      </c>
    </row>
    <row r="53" spans="1:14" ht="242.25" customHeight="1">
      <c r="A53" s="15" t="s">
        <v>175</v>
      </c>
      <c r="B53" s="15" t="s">
        <v>62</v>
      </c>
      <c r="C53" s="37" t="s">
        <v>262</v>
      </c>
      <c r="D53" s="25">
        <v>206</v>
      </c>
      <c r="E53" s="146"/>
      <c r="F53" s="146"/>
      <c r="G53" s="146"/>
      <c r="H53" s="146"/>
      <c r="I53" s="146"/>
      <c r="J53" s="146"/>
      <c r="K53" s="146"/>
      <c r="L53" s="146"/>
      <c r="M53" s="146"/>
      <c r="N53" s="146">
        <f t="shared" si="1"/>
        <v>206</v>
      </c>
    </row>
    <row r="54" spans="1:14" s="23" customFormat="1" ht="93.6">
      <c r="A54" s="19" t="s">
        <v>182</v>
      </c>
      <c r="B54" s="19" t="s">
        <v>144</v>
      </c>
      <c r="C54" s="41" t="s">
        <v>183</v>
      </c>
      <c r="D54" s="21">
        <v>9</v>
      </c>
      <c r="E54" s="146"/>
      <c r="F54" s="146"/>
      <c r="G54" s="146"/>
      <c r="H54" s="146"/>
      <c r="I54" s="146"/>
      <c r="J54" s="146"/>
      <c r="K54" s="146"/>
      <c r="L54" s="146"/>
      <c r="M54" s="146"/>
      <c r="N54" s="146">
        <f t="shared" si="1"/>
        <v>9</v>
      </c>
    </row>
    <row r="55" spans="1:14" ht="31.2">
      <c r="A55" s="15" t="s">
        <v>186</v>
      </c>
      <c r="B55" s="15" t="s">
        <v>144</v>
      </c>
      <c r="C55" s="42" t="s">
        <v>187</v>
      </c>
      <c r="D55" s="25">
        <v>310</v>
      </c>
      <c r="E55" s="146"/>
      <c r="F55" s="146"/>
      <c r="G55" s="146"/>
      <c r="H55" s="146"/>
      <c r="I55" s="146"/>
      <c r="J55" s="146"/>
      <c r="K55" s="146"/>
      <c r="L55" s="146"/>
      <c r="M55" s="146"/>
      <c r="N55" s="146">
        <f t="shared" si="1"/>
        <v>310</v>
      </c>
    </row>
    <row r="56" spans="1:14" ht="46.8">
      <c r="A56" s="15" t="s">
        <v>143</v>
      </c>
      <c r="B56" s="15" t="s">
        <v>144</v>
      </c>
      <c r="C56" s="37" t="s">
        <v>145</v>
      </c>
      <c r="D56" s="25">
        <v>400</v>
      </c>
      <c r="E56" s="146"/>
      <c r="F56" s="146"/>
      <c r="G56" s="146"/>
      <c r="H56" s="146"/>
      <c r="I56" s="146"/>
      <c r="J56" s="146"/>
      <c r="K56" s="146"/>
      <c r="L56" s="146"/>
      <c r="M56" s="146"/>
      <c r="N56" s="146">
        <f>D56+G56</f>
        <v>400</v>
      </c>
    </row>
    <row r="57" spans="1:14" s="30" customFormat="1" ht="62.4">
      <c r="A57" s="14" t="s">
        <v>192</v>
      </c>
      <c r="B57" s="14"/>
      <c r="C57" s="40" t="s">
        <v>193</v>
      </c>
      <c r="D57" s="17">
        <f>D58+D59+D60+D61+D62+D63+D64+D65+D66</f>
        <v>65163.6</v>
      </c>
      <c r="E57" s="145">
        <f t="shared" ref="E57:M57" si="10">E58+E59+E60+E61+E62+E63+E64+E65+E66</f>
        <v>0</v>
      </c>
      <c r="F57" s="145">
        <f t="shared" si="10"/>
        <v>0</v>
      </c>
      <c r="G57" s="145">
        <f t="shared" si="10"/>
        <v>0</v>
      </c>
      <c r="H57" s="145">
        <f t="shared" si="10"/>
        <v>0</v>
      </c>
      <c r="I57" s="145">
        <f t="shared" si="10"/>
        <v>0</v>
      </c>
      <c r="J57" s="145">
        <f t="shared" si="10"/>
        <v>0</v>
      </c>
      <c r="K57" s="145">
        <f t="shared" si="10"/>
        <v>0</v>
      </c>
      <c r="L57" s="145">
        <f t="shared" si="10"/>
        <v>0</v>
      </c>
      <c r="M57" s="145">
        <f t="shared" si="10"/>
        <v>0</v>
      </c>
      <c r="N57" s="145">
        <f>D57+G57</f>
        <v>65163.6</v>
      </c>
    </row>
    <row r="58" spans="1:14" s="46" customFormat="1" ht="27.6">
      <c r="A58" s="43" t="s">
        <v>194</v>
      </c>
      <c r="B58" s="43" t="s">
        <v>195</v>
      </c>
      <c r="C58" s="44" t="s">
        <v>196</v>
      </c>
      <c r="D58" s="45">
        <v>644.6</v>
      </c>
      <c r="E58" s="147"/>
      <c r="F58" s="147"/>
      <c r="G58" s="147"/>
      <c r="H58" s="147"/>
      <c r="I58" s="147"/>
      <c r="J58" s="147"/>
      <c r="K58" s="147"/>
      <c r="L58" s="147"/>
      <c r="M58" s="147"/>
      <c r="N58" s="147">
        <f t="shared" si="1"/>
        <v>644.6</v>
      </c>
    </row>
    <row r="59" spans="1:14" s="46" customFormat="1" ht="27.6">
      <c r="A59" s="43" t="s">
        <v>197</v>
      </c>
      <c r="B59" s="43" t="s">
        <v>195</v>
      </c>
      <c r="C59" s="44" t="s">
        <v>198</v>
      </c>
      <c r="D59" s="45">
        <v>426.3</v>
      </c>
      <c r="E59" s="147"/>
      <c r="F59" s="147"/>
      <c r="G59" s="147"/>
      <c r="H59" s="147"/>
      <c r="I59" s="147"/>
      <c r="J59" s="147"/>
      <c r="K59" s="147"/>
      <c r="L59" s="147"/>
      <c r="M59" s="147"/>
      <c r="N59" s="147">
        <f t="shared" si="1"/>
        <v>426.3</v>
      </c>
    </row>
    <row r="60" spans="1:14" s="46" customFormat="1">
      <c r="A60" s="43" t="s">
        <v>199</v>
      </c>
      <c r="B60" s="43" t="s">
        <v>195</v>
      </c>
      <c r="C60" s="44" t="s">
        <v>200</v>
      </c>
      <c r="D60" s="45">
        <v>40111.599999999999</v>
      </c>
      <c r="E60" s="147"/>
      <c r="F60" s="147"/>
      <c r="G60" s="147"/>
      <c r="H60" s="147"/>
      <c r="I60" s="147"/>
      <c r="J60" s="147"/>
      <c r="K60" s="147"/>
      <c r="L60" s="147"/>
      <c r="M60" s="147"/>
      <c r="N60" s="147">
        <f t="shared" si="1"/>
        <v>40111.599999999999</v>
      </c>
    </row>
    <row r="61" spans="1:14" s="46" customFormat="1" ht="27.6">
      <c r="A61" s="43" t="s">
        <v>201</v>
      </c>
      <c r="B61" s="43" t="s">
        <v>195</v>
      </c>
      <c r="C61" s="44" t="s">
        <v>202</v>
      </c>
      <c r="D61" s="45">
        <v>3277.7</v>
      </c>
      <c r="E61" s="147"/>
      <c r="F61" s="147"/>
      <c r="G61" s="147"/>
      <c r="H61" s="147"/>
      <c r="I61" s="147"/>
      <c r="J61" s="147"/>
      <c r="K61" s="147"/>
      <c r="L61" s="147"/>
      <c r="M61" s="147"/>
      <c r="N61" s="147">
        <f t="shared" si="1"/>
        <v>3277.7</v>
      </c>
    </row>
    <row r="62" spans="1:14" s="46" customFormat="1">
      <c r="A62" s="43" t="s">
        <v>203</v>
      </c>
      <c r="B62" s="43" t="s">
        <v>195</v>
      </c>
      <c r="C62" s="44" t="s">
        <v>204</v>
      </c>
      <c r="D62" s="45">
        <v>5659.7</v>
      </c>
      <c r="E62" s="147"/>
      <c r="F62" s="147"/>
      <c r="G62" s="147"/>
      <c r="H62" s="147"/>
      <c r="I62" s="147"/>
      <c r="J62" s="147"/>
      <c r="K62" s="147"/>
      <c r="L62" s="147"/>
      <c r="M62" s="147"/>
      <c r="N62" s="147">
        <f t="shared" si="1"/>
        <v>5659.7</v>
      </c>
    </row>
    <row r="63" spans="1:14" s="46" customFormat="1">
      <c r="A63" s="43" t="s">
        <v>205</v>
      </c>
      <c r="B63" s="43" t="s">
        <v>195</v>
      </c>
      <c r="C63" s="44" t="s">
        <v>206</v>
      </c>
      <c r="D63" s="45">
        <v>270.8</v>
      </c>
      <c r="E63" s="147"/>
      <c r="F63" s="147"/>
      <c r="G63" s="147"/>
      <c r="H63" s="147"/>
      <c r="I63" s="147"/>
      <c r="J63" s="147"/>
      <c r="K63" s="147"/>
      <c r="L63" s="147"/>
      <c r="M63" s="147"/>
      <c r="N63" s="147">
        <f t="shared" si="1"/>
        <v>270.8</v>
      </c>
    </row>
    <row r="64" spans="1:14" s="46" customFormat="1">
      <c r="A64" s="43" t="s">
        <v>207</v>
      </c>
      <c r="B64" s="43" t="s">
        <v>195</v>
      </c>
      <c r="C64" s="44" t="s">
        <v>208</v>
      </c>
      <c r="D64" s="45">
        <v>68</v>
      </c>
      <c r="E64" s="147"/>
      <c r="F64" s="147"/>
      <c r="G64" s="147"/>
      <c r="H64" s="147"/>
      <c r="I64" s="147"/>
      <c r="J64" s="147"/>
      <c r="K64" s="147"/>
      <c r="L64" s="147"/>
      <c r="M64" s="147"/>
      <c r="N64" s="147">
        <f t="shared" si="1"/>
        <v>68</v>
      </c>
    </row>
    <row r="65" spans="1:14" s="46" customFormat="1" ht="27.6">
      <c r="A65" s="43" t="s">
        <v>209</v>
      </c>
      <c r="B65" s="43" t="s">
        <v>195</v>
      </c>
      <c r="C65" s="44" t="s">
        <v>210</v>
      </c>
      <c r="D65" s="45">
        <v>7755.8</v>
      </c>
      <c r="E65" s="147"/>
      <c r="F65" s="147"/>
      <c r="G65" s="147"/>
      <c r="H65" s="147"/>
      <c r="I65" s="147"/>
      <c r="J65" s="147"/>
      <c r="K65" s="147"/>
      <c r="L65" s="147"/>
      <c r="M65" s="147"/>
      <c r="N65" s="147">
        <f t="shared" si="1"/>
        <v>7755.8</v>
      </c>
    </row>
    <row r="66" spans="1:14" s="46" customFormat="1" ht="31.2">
      <c r="A66" s="43" t="s">
        <v>245</v>
      </c>
      <c r="B66" s="43" t="s">
        <v>57</v>
      </c>
      <c r="C66" s="37" t="s">
        <v>246</v>
      </c>
      <c r="D66" s="45">
        <v>6949.1</v>
      </c>
      <c r="E66" s="147"/>
      <c r="F66" s="147"/>
      <c r="G66" s="147"/>
      <c r="H66" s="147"/>
      <c r="I66" s="147"/>
      <c r="J66" s="147"/>
      <c r="K66" s="147"/>
      <c r="L66" s="147"/>
      <c r="M66" s="147"/>
      <c r="N66" s="147">
        <f t="shared" si="1"/>
        <v>6949.1</v>
      </c>
    </row>
    <row r="67" spans="1:14" s="47" customFormat="1" ht="38.25" customHeight="1">
      <c r="A67" s="19" t="s">
        <v>247</v>
      </c>
      <c r="B67" s="19" t="s">
        <v>57</v>
      </c>
      <c r="C67" s="28" t="s">
        <v>248</v>
      </c>
      <c r="D67" s="27">
        <v>786</v>
      </c>
      <c r="E67" s="147"/>
      <c r="F67" s="147"/>
      <c r="G67" s="147"/>
      <c r="H67" s="147"/>
      <c r="I67" s="147"/>
      <c r="J67" s="147"/>
      <c r="K67" s="147"/>
      <c r="L67" s="147"/>
      <c r="M67" s="147"/>
      <c r="N67" s="147">
        <f t="shared" si="1"/>
        <v>786</v>
      </c>
    </row>
    <row r="68" spans="1:14" s="49" customFormat="1" ht="62.4">
      <c r="A68" s="15" t="s">
        <v>232</v>
      </c>
      <c r="B68" s="15"/>
      <c r="C68" s="28" t="s">
        <v>233</v>
      </c>
      <c r="D68" s="25">
        <f>D69</f>
        <v>4047.2</v>
      </c>
      <c r="E68" s="146">
        <f>E69</f>
        <v>3898.8</v>
      </c>
      <c r="F68" s="146">
        <f>F69</f>
        <v>45.8</v>
      </c>
      <c r="G68" s="146">
        <f>G69</f>
        <v>26</v>
      </c>
      <c r="H68" s="146">
        <f>H69</f>
        <v>12</v>
      </c>
      <c r="I68" s="146"/>
      <c r="J68" s="146"/>
      <c r="K68" s="146">
        <f>K69</f>
        <v>14</v>
      </c>
      <c r="L68" s="146">
        <f>L69</f>
        <v>14</v>
      </c>
      <c r="M68" s="146">
        <f>M69</f>
        <v>14</v>
      </c>
      <c r="N68" s="152">
        <f t="shared" ref="N68:N78" si="11">D68+G68</f>
        <v>4073.2</v>
      </c>
    </row>
    <row r="69" spans="1:14" s="49" customFormat="1" ht="75" customHeight="1">
      <c r="A69" s="43" t="s">
        <v>234</v>
      </c>
      <c r="B69" s="43" t="s">
        <v>59</v>
      </c>
      <c r="C69" s="37" t="s">
        <v>249</v>
      </c>
      <c r="D69" s="50">
        <f>3296.5+567.7+54.4+128.6</f>
        <v>4047.2</v>
      </c>
      <c r="E69" s="149">
        <f>3148.1+567.7+54.4+128.6</f>
        <v>3898.8</v>
      </c>
      <c r="F69" s="149">
        <v>45.8</v>
      </c>
      <c r="G69" s="150">
        <f>H69+K69</f>
        <v>26</v>
      </c>
      <c r="H69" s="150">
        <v>12</v>
      </c>
      <c r="I69" s="150"/>
      <c r="J69" s="150"/>
      <c r="K69" s="150">
        <v>14</v>
      </c>
      <c r="L69" s="150">
        <v>14</v>
      </c>
      <c r="M69" s="150">
        <v>14</v>
      </c>
      <c r="N69" s="150">
        <f t="shared" si="11"/>
        <v>4073.2</v>
      </c>
    </row>
    <row r="70" spans="1:14" s="49" customFormat="1" ht="31.2">
      <c r="A70" s="19" t="s">
        <v>219</v>
      </c>
      <c r="B70" s="19"/>
      <c r="C70" s="52" t="s">
        <v>221</v>
      </c>
      <c r="D70" s="21">
        <f>D71</f>
        <v>33.6</v>
      </c>
      <c r="E70" s="146"/>
      <c r="F70" s="146"/>
      <c r="G70" s="146"/>
      <c r="H70" s="146"/>
      <c r="I70" s="146"/>
      <c r="J70" s="146"/>
      <c r="K70" s="146"/>
      <c r="L70" s="146"/>
      <c r="M70" s="146"/>
      <c r="N70" s="146">
        <f t="shared" si="11"/>
        <v>33.6</v>
      </c>
    </row>
    <row r="71" spans="1:14" s="49" customFormat="1" ht="31.2">
      <c r="A71" s="43" t="s">
        <v>220</v>
      </c>
      <c r="B71" s="43" t="s">
        <v>195</v>
      </c>
      <c r="C71" s="37" t="s">
        <v>250</v>
      </c>
      <c r="D71" s="45">
        <v>33.6</v>
      </c>
      <c r="E71" s="147"/>
      <c r="F71" s="147"/>
      <c r="G71" s="147"/>
      <c r="H71" s="147"/>
      <c r="I71" s="147"/>
      <c r="J71" s="147"/>
      <c r="K71" s="147"/>
      <c r="L71" s="147"/>
      <c r="M71" s="147"/>
      <c r="N71" s="147">
        <f t="shared" si="11"/>
        <v>33.6</v>
      </c>
    </row>
    <row r="72" spans="1:14" s="49" customFormat="1" ht="31.2">
      <c r="A72" s="15" t="s">
        <v>223</v>
      </c>
      <c r="B72" s="43"/>
      <c r="C72" s="52" t="s">
        <v>224</v>
      </c>
      <c r="D72" s="45">
        <f>D73+D74+D75</f>
        <v>2447</v>
      </c>
      <c r="E72" s="147">
        <f>E73+E74+E75</f>
        <v>1793.8</v>
      </c>
      <c r="F72" s="147">
        <f>F73+F74+F75</f>
        <v>75.5</v>
      </c>
      <c r="G72" s="147"/>
      <c r="H72" s="147"/>
      <c r="I72" s="147"/>
      <c r="J72" s="147"/>
      <c r="K72" s="147"/>
      <c r="L72" s="147"/>
      <c r="M72" s="147"/>
      <c r="N72" s="147">
        <f t="shared" si="11"/>
        <v>2447</v>
      </c>
    </row>
    <row r="73" spans="1:14" s="49" customFormat="1" ht="31.2">
      <c r="A73" s="43" t="s">
        <v>227</v>
      </c>
      <c r="B73" s="43" t="s">
        <v>195</v>
      </c>
      <c r="C73" s="41" t="s">
        <v>225</v>
      </c>
      <c r="D73" s="50">
        <f>894.8+79.9+13.2</f>
        <v>987.9</v>
      </c>
      <c r="E73" s="149">
        <f>746.6+79.9+4.4</f>
        <v>830.9</v>
      </c>
      <c r="F73" s="149">
        <v>75.5</v>
      </c>
      <c r="G73" s="150"/>
      <c r="H73" s="150"/>
      <c r="I73" s="150"/>
      <c r="J73" s="150"/>
      <c r="K73" s="150"/>
      <c r="L73" s="150"/>
      <c r="M73" s="150"/>
      <c r="N73" s="150">
        <f t="shared" si="11"/>
        <v>987.9</v>
      </c>
    </row>
    <row r="74" spans="1:14" s="49" customFormat="1" ht="31.2">
      <c r="A74" s="43" t="s">
        <v>222</v>
      </c>
      <c r="B74" s="43" t="s">
        <v>195</v>
      </c>
      <c r="C74" s="41" t="s">
        <v>226</v>
      </c>
      <c r="D74" s="51">
        <f>1019.3+156+45.3</f>
        <v>1220.5999999999999</v>
      </c>
      <c r="E74" s="150">
        <f>761.6+156+45.3</f>
        <v>962.9</v>
      </c>
      <c r="F74" s="150"/>
      <c r="G74" s="150"/>
      <c r="H74" s="150"/>
      <c r="I74" s="150"/>
      <c r="J74" s="150"/>
      <c r="K74" s="150"/>
      <c r="L74" s="150"/>
      <c r="M74" s="150"/>
      <c r="N74" s="150">
        <f t="shared" si="11"/>
        <v>1220.5999999999999</v>
      </c>
    </row>
    <row r="75" spans="1:14" s="49" customFormat="1" ht="15.6">
      <c r="A75" s="43" t="s">
        <v>229</v>
      </c>
      <c r="B75" s="43" t="s">
        <v>195</v>
      </c>
      <c r="C75" s="37" t="s">
        <v>251</v>
      </c>
      <c r="D75" s="51">
        <v>238.5</v>
      </c>
      <c r="E75" s="150"/>
      <c r="F75" s="150"/>
      <c r="G75" s="150"/>
      <c r="H75" s="150"/>
      <c r="I75" s="150"/>
      <c r="J75" s="150"/>
      <c r="K75" s="150"/>
      <c r="L75" s="150"/>
      <c r="M75" s="150"/>
      <c r="N75" s="150">
        <f t="shared" si="11"/>
        <v>238.5</v>
      </c>
    </row>
    <row r="76" spans="1:14" s="49" customFormat="1" ht="31.2">
      <c r="A76" s="15" t="s">
        <v>228</v>
      </c>
      <c r="B76" s="15"/>
      <c r="C76" s="52" t="s">
        <v>272</v>
      </c>
      <c r="D76" s="31">
        <v>477.1</v>
      </c>
      <c r="E76" s="148"/>
      <c r="F76" s="148"/>
      <c r="G76" s="148"/>
      <c r="H76" s="148"/>
      <c r="I76" s="148"/>
      <c r="J76" s="148"/>
      <c r="K76" s="148"/>
      <c r="L76" s="148"/>
      <c r="M76" s="148"/>
      <c r="N76" s="148">
        <f t="shared" si="11"/>
        <v>477.1</v>
      </c>
    </row>
    <row r="77" spans="1:14" s="49" customFormat="1" ht="36" customHeight="1">
      <c r="A77" s="78" t="s">
        <v>271</v>
      </c>
      <c r="B77" s="78" t="s">
        <v>195</v>
      </c>
      <c r="C77" s="37" t="s">
        <v>273</v>
      </c>
      <c r="D77" s="51">
        <v>477.1</v>
      </c>
      <c r="E77" s="150"/>
      <c r="F77" s="150"/>
      <c r="G77" s="150"/>
      <c r="H77" s="150"/>
      <c r="I77" s="150"/>
      <c r="J77" s="150"/>
      <c r="K77" s="150"/>
      <c r="L77" s="150"/>
      <c r="M77" s="150"/>
      <c r="N77" s="150">
        <f>D77</f>
        <v>477.1</v>
      </c>
    </row>
    <row r="78" spans="1:14" s="49" customFormat="1" ht="78">
      <c r="A78" s="15" t="s">
        <v>230</v>
      </c>
      <c r="B78" s="15" t="s">
        <v>195</v>
      </c>
      <c r="C78" s="28" t="s">
        <v>231</v>
      </c>
      <c r="D78" s="25">
        <f>1112.4+156</f>
        <v>1268.4000000000001</v>
      </c>
      <c r="E78" s="146"/>
      <c r="F78" s="146"/>
      <c r="G78" s="146"/>
      <c r="H78" s="146"/>
      <c r="I78" s="146"/>
      <c r="J78" s="146"/>
      <c r="K78" s="146"/>
      <c r="L78" s="146"/>
      <c r="M78" s="146"/>
      <c r="N78" s="146">
        <f t="shared" si="11"/>
        <v>1268.4000000000001</v>
      </c>
    </row>
    <row r="79" spans="1:14" ht="93.6">
      <c r="A79" s="15" t="s">
        <v>235</v>
      </c>
      <c r="B79" s="15"/>
      <c r="C79" s="28" t="s">
        <v>236</v>
      </c>
      <c r="D79" s="53">
        <f>D80</f>
        <v>546</v>
      </c>
      <c r="E79" s="151"/>
      <c r="F79" s="151"/>
      <c r="G79" s="148"/>
      <c r="H79" s="148"/>
      <c r="I79" s="148"/>
      <c r="J79" s="148"/>
      <c r="K79" s="148"/>
      <c r="L79" s="148"/>
      <c r="M79" s="148"/>
      <c r="N79" s="148">
        <f>N80</f>
        <v>546</v>
      </c>
    </row>
    <row r="80" spans="1:14" s="46" customFormat="1" ht="96" customHeight="1">
      <c r="A80" s="43" t="s">
        <v>237</v>
      </c>
      <c r="B80" s="43" t="s">
        <v>57</v>
      </c>
      <c r="C80" s="41" t="s">
        <v>238</v>
      </c>
      <c r="D80" s="51">
        <v>546</v>
      </c>
      <c r="E80" s="150"/>
      <c r="F80" s="150"/>
      <c r="G80" s="150"/>
      <c r="H80" s="150"/>
      <c r="I80" s="150"/>
      <c r="J80" s="150"/>
      <c r="K80" s="150"/>
      <c r="L80" s="150"/>
      <c r="M80" s="150"/>
      <c r="N80" s="150">
        <f t="shared" si="1"/>
        <v>546</v>
      </c>
    </row>
    <row r="81" spans="1:14" ht="93.6">
      <c r="A81" s="15" t="s">
        <v>239</v>
      </c>
      <c r="B81" s="15" t="s">
        <v>64</v>
      </c>
      <c r="C81" s="52" t="s">
        <v>240</v>
      </c>
      <c r="D81" s="31">
        <f>507.4+97.8</f>
        <v>605.19999999999993</v>
      </c>
      <c r="E81" s="148"/>
      <c r="F81" s="148"/>
      <c r="G81" s="148"/>
      <c r="H81" s="148"/>
      <c r="I81" s="148"/>
      <c r="J81" s="148"/>
      <c r="K81" s="148"/>
      <c r="L81" s="148"/>
      <c r="M81" s="148"/>
      <c r="N81" s="148">
        <f t="shared" si="1"/>
        <v>605.19999999999993</v>
      </c>
    </row>
    <row r="82" spans="1:14" ht="15.6">
      <c r="A82" s="15" t="s">
        <v>241</v>
      </c>
      <c r="B82" s="15"/>
      <c r="C82" s="52" t="s">
        <v>242</v>
      </c>
      <c r="D82" s="31">
        <f>D83</f>
        <v>50</v>
      </c>
      <c r="E82" s="148"/>
      <c r="F82" s="148"/>
      <c r="G82" s="148"/>
      <c r="H82" s="148"/>
      <c r="I82" s="148"/>
      <c r="J82" s="148"/>
      <c r="K82" s="148"/>
      <c r="L82" s="148"/>
      <c r="M82" s="148"/>
      <c r="N82" s="148">
        <f>N83</f>
        <v>50</v>
      </c>
    </row>
    <row r="83" spans="1:14" ht="73.5" customHeight="1">
      <c r="A83" s="15" t="s">
        <v>243</v>
      </c>
      <c r="B83" s="15" t="s">
        <v>62</v>
      </c>
      <c r="C83" s="37" t="s">
        <v>244</v>
      </c>
      <c r="D83" s="31">
        <v>50</v>
      </c>
      <c r="E83" s="148"/>
      <c r="F83" s="148"/>
      <c r="G83" s="148"/>
      <c r="H83" s="148"/>
      <c r="I83" s="148"/>
      <c r="J83" s="148"/>
      <c r="K83" s="148"/>
      <c r="L83" s="148"/>
      <c r="M83" s="148"/>
      <c r="N83" s="148">
        <f t="shared" si="1"/>
        <v>50</v>
      </c>
    </row>
    <row r="84" spans="1:14">
      <c r="A84" s="15" t="s">
        <v>217</v>
      </c>
      <c r="B84" s="15" t="s">
        <v>67</v>
      </c>
      <c r="C84" s="54" t="s">
        <v>44</v>
      </c>
      <c r="D84" s="25">
        <f>30824.4+1119.6</f>
        <v>31944</v>
      </c>
      <c r="E84" s="146"/>
      <c r="F84" s="146"/>
      <c r="G84" s="145"/>
      <c r="H84" s="146"/>
      <c r="I84" s="146"/>
      <c r="J84" s="146"/>
      <c r="K84" s="146"/>
      <c r="L84" s="146"/>
      <c r="M84" s="146"/>
      <c r="N84" s="146">
        <f>D84+G84</f>
        <v>31944</v>
      </c>
    </row>
    <row r="85" spans="1:14" s="30" customFormat="1">
      <c r="A85" s="14" t="s">
        <v>116</v>
      </c>
      <c r="B85" s="14"/>
      <c r="C85" s="55" t="s">
        <v>16</v>
      </c>
      <c r="D85" s="17">
        <f>D86+D87+D88+D89+D90</f>
        <v>21113.599999999999</v>
      </c>
      <c r="E85" s="145">
        <f>E86+E87+E88+E89+E90</f>
        <v>17458.599999999999</v>
      </c>
      <c r="F85" s="145">
        <f>F86+F87+F88+F89+F90</f>
        <v>1340.6</v>
      </c>
      <c r="G85" s="145">
        <f>H85+K85</f>
        <v>3672.5</v>
      </c>
      <c r="H85" s="145">
        <f>H86+H87+H88+H89+H90</f>
        <v>788.5</v>
      </c>
      <c r="I85" s="145">
        <f>I86+I87+I88+I89+I90</f>
        <v>426.40000000000003</v>
      </c>
      <c r="J85" s="145"/>
      <c r="K85" s="145">
        <f>K86+K87+K88+K89+K90</f>
        <v>2884</v>
      </c>
      <c r="L85" s="145">
        <f>L86+L87+L88+L89+L90</f>
        <v>2884</v>
      </c>
      <c r="M85" s="145">
        <f>M86+M87+M88+M89+M90</f>
        <v>2884</v>
      </c>
      <c r="N85" s="145">
        <f t="shared" si="1"/>
        <v>24786.1</v>
      </c>
    </row>
    <row r="86" spans="1:14">
      <c r="A86" s="15" t="s">
        <v>117</v>
      </c>
      <c r="B86" s="15" t="s">
        <v>118</v>
      </c>
      <c r="C86" s="56" t="s">
        <v>25</v>
      </c>
      <c r="D86" s="25">
        <f>4088-80.2</f>
        <v>4007.8</v>
      </c>
      <c r="E86" s="146">
        <f>3358.3-80.2</f>
        <v>3278.1000000000004</v>
      </c>
      <c r="F86" s="146">
        <v>395.3</v>
      </c>
      <c r="G86" s="146">
        <f>K86+H86</f>
        <v>128.5</v>
      </c>
      <c r="H86" s="146">
        <v>28.5</v>
      </c>
      <c r="I86" s="146"/>
      <c r="J86" s="146"/>
      <c r="K86" s="146">
        <v>100</v>
      </c>
      <c r="L86" s="146">
        <v>100</v>
      </c>
      <c r="M86" s="146">
        <v>100</v>
      </c>
      <c r="N86" s="146">
        <f t="shared" si="1"/>
        <v>4136.3</v>
      </c>
    </row>
    <row r="87" spans="1:14">
      <c r="A87" s="15" t="s">
        <v>119</v>
      </c>
      <c r="B87" s="15" t="s">
        <v>118</v>
      </c>
      <c r="C87" s="56" t="s">
        <v>26</v>
      </c>
      <c r="D87" s="25">
        <f>1222+91.2</f>
        <v>1313.2</v>
      </c>
      <c r="E87" s="146">
        <f>946.9+91.2</f>
        <v>1038.0999999999999</v>
      </c>
      <c r="F87" s="146">
        <v>157.9</v>
      </c>
      <c r="G87" s="146">
        <f>H87+K87</f>
        <v>757</v>
      </c>
      <c r="H87" s="146">
        <v>27</v>
      </c>
      <c r="I87" s="146"/>
      <c r="J87" s="146"/>
      <c r="K87" s="146">
        <f>730</f>
        <v>730</v>
      </c>
      <c r="L87" s="146">
        <f>730</f>
        <v>730</v>
      </c>
      <c r="M87" s="146">
        <f>730</f>
        <v>730</v>
      </c>
      <c r="N87" s="146">
        <f t="shared" si="1"/>
        <v>2070.1999999999998</v>
      </c>
    </row>
    <row r="88" spans="1:14" ht="27.6">
      <c r="A88" s="15" t="s">
        <v>120</v>
      </c>
      <c r="B88" s="15" t="s">
        <v>121</v>
      </c>
      <c r="C88" s="56" t="s">
        <v>17</v>
      </c>
      <c r="D88" s="25">
        <f>4528.7+408.5+12.7</f>
        <v>4949.8999999999996</v>
      </c>
      <c r="E88" s="146">
        <f>3229.9+408.5+162.7</f>
        <v>3801.1</v>
      </c>
      <c r="F88" s="146">
        <v>520.9</v>
      </c>
      <c r="G88" s="146">
        <f>H88+K88</f>
        <v>2161</v>
      </c>
      <c r="H88" s="146">
        <v>140</v>
      </c>
      <c r="I88" s="146">
        <v>39</v>
      </c>
      <c r="J88" s="146"/>
      <c r="K88" s="146">
        <f>1871+150</f>
        <v>2021</v>
      </c>
      <c r="L88" s="146">
        <f>1871+150</f>
        <v>2021</v>
      </c>
      <c r="M88" s="146">
        <f>1871+150</f>
        <v>2021</v>
      </c>
      <c r="N88" s="146">
        <f t="shared" si="1"/>
        <v>7110.9</v>
      </c>
    </row>
    <row r="89" spans="1:14">
      <c r="A89" s="15" t="s">
        <v>122</v>
      </c>
      <c r="B89" s="15" t="s">
        <v>68</v>
      </c>
      <c r="C89" s="56" t="s">
        <v>27</v>
      </c>
      <c r="D89" s="25">
        <f>7580.8+901.2+637.8</f>
        <v>9119.7999999999993</v>
      </c>
      <c r="E89" s="146">
        <f>7021.8+901.2+697.8</f>
        <v>8620.7999999999993</v>
      </c>
      <c r="F89" s="146">
        <v>245.6</v>
      </c>
      <c r="G89" s="146">
        <f>H89+K89</f>
        <v>626</v>
      </c>
      <c r="H89" s="146">
        <v>593</v>
      </c>
      <c r="I89" s="146">
        <f>586.1-198.7</f>
        <v>387.40000000000003</v>
      </c>
      <c r="J89" s="146"/>
      <c r="K89" s="146">
        <v>33</v>
      </c>
      <c r="L89" s="146">
        <v>33</v>
      </c>
      <c r="M89" s="146">
        <v>33</v>
      </c>
      <c r="N89" s="146">
        <f t="shared" si="1"/>
        <v>9745.7999999999993</v>
      </c>
    </row>
    <row r="90" spans="1:14">
      <c r="A90" s="15" t="s">
        <v>123</v>
      </c>
      <c r="B90" s="15" t="s">
        <v>124</v>
      </c>
      <c r="C90" s="56" t="s">
        <v>18</v>
      </c>
      <c r="D90" s="25">
        <f>774.9+880+68</f>
        <v>1722.9</v>
      </c>
      <c r="E90" s="146">
        <v>720.5</v>
      </c>
      <c r="F90" s="146">
        <v>20.9</v>
      </c>
      <c r="G90" s="146">
        <f>K90+H90</f>
        <v>0</v>
      </c>
      <c r="H90" s="146"/>
      <c r="I90" s="146"/>
      <c r="J90" s="146"/>
      <c r="K90" s="146"/>
      <c r="L90" s="146"/>
      <c r="M90" s="146"/>
      <c r="N90" s="146">
        <f t="shared" si="1"/>
        <v>1722.9</v>
      </c>
    </row>
    <row r="91" spans="1:14" s="30" customFormat="1">
      <c r="A91" s="14" t="s">
        <v>125</v>
      </c>
      <c r="B91" s="14"/>
      <c r="C91" s="55" t="s">
        <v>29</v>
      </c>
      <c r="D91" s="17">
        <f>D92+D95+D97</f>
        <v>4719.3999999999996</v>
      </c>
      <c r="E91" s="145">
        <f>E92+E95+E97</f>
        <v>2967.7999999999997</v>
      </c>
      <c r="F91" s="145">
        <f>F92+F95+F97</f>
        <v>180.9</v>
      </c>
      <c r="G91" s="145">
        <f>K91</f>
        <v>370</v>
      </c>
      <c r="H91" s="145"/>
      <c r="I91" s="145"/>
      <c r="J91" s="145"/>
      <c r="K91" s="145">
        <f>K95</f>
        <v>370</v>
      </c>
      <c r="L91" s="145">
        <f>L95</f>
        <v>370</v>
      </c>
      <c r="M91" s="145">
        <f>M95</f>
        <v>370</v>
      </c>
      <c r="N91" s="145">
        <f t="shared" si="1"/>
        <v>5089.3999999999996</v>
      </c>
    </row>
    <row r="92" spans="1:14">
      <c r="A92" s="15" t="s">
        <v>126</v>
      </c>
      <c r="B92" s="15"/>
      <c r="C92" s="56" t="s">
        <v>127</v>
      </c>
      <c r="D92" s="25">
        <f>D93+D94</f>
        <v>390</v>
      </c>
      <c r="E92" s="146"/>
      <c r="F92" s="146"/>
      <c r="G92" s="146"/>
      <c r="H92" s="146"/>
      <c r="I92" s="146"/>
      <c r="J92" s="146"/>
      <c r="K92" s="146"/>
      <c r="L92" s="146"/>
      <c r="M92" s="146"/>
      <c r="N92" s="146">
        <f t="shared" si="1"/>
        <v>390</v>
      </c>
    </row>
    <row r="93" spans="1:14" s="46" customFormat="1" ht="27.6">
      <c r="A93" s="43" t="s">
        <v>128</v>
      </c>
      <c r="B93" s="43" t="s">
        <v>129</v>
      </c>
      <c r="C93" s="44" t="s">
        <v>130</v>
      </c>
      <c r="D93" s="45">
        <v>225</v>
      </c>
      <c r="E93" s="147"/>
      <c r="F93" s="147"/>
      <c r="G93" s="147"/>
      <c r="H93" s="147"/>
      <c r="I93" s="147"/>
      <c r="J93" s="147"/>
      <c r="K93" s="147"/>
      <c r="L93" s="147"/>
      <c r="M93" s="147"/>
      <c r="N93" s="146">
        <f t="shared" si="1"/>
        <v>225</v>
      </c>
    </row>
    <row r="94" spans="1:14" s="46" customFormat="1" ht="27.6">
      <c r="A94" s="43" t="s">
        <v>254</v>
      </c>
      <c r="B94" s="43" t="s">
        <v>129</v>
      </c>
      <c r="C94" s="44" t="s">
        <v>255</v>
      </c>
      <c r="D94" s="45">
        <v>165</v>
      </c>
      <c r="E94" s="147"/>
      <c r="F94" s="147"/>
      <c r="G94" s="147"/>
      <c r="H94" s="147"/>
      <c r="I94" s="147"/>
      <c r="J94" s="147"/>
      <c r="K94" s="147"/>
      <c r="L94" s="147"/>
      <c r="M94" s="147"/>
      <c r="N94" s="147">
        <f>D94+G94</f>
        <v>165</v>
      </c>
    </row>
    <row r="95" spans="1:14" ht="33.75" customHeight="1">
      <c r="A95" s="79" t="s">
        <v>267</v>
      </c>
      <c r="B95" s="79"/>
      <c r="C95" s="80" t="s">
        <v>266</v>
      </c>
      <c r="D95" s="25">
        <f>D96</f>
        <v>3838.2</v>
      </c>
      <c r="E95" s="146">
        <f>E96</f>
        <v>2967.7999999999997</v>
      </c>
      <c r="F95" s="146">
        <f>F96</f>
        <v>180.9</v>
      </c>
      <c r="G95" s="146">
        <f>H95+K95</f>
        <v>370</v>
      </c>
      <c r="H95" s="146">
        <f>H96</f>
        <v>0</v>
      </c>
      <c r="I95" s="146"/>
      <c r="J95" s="146"/>
      <c r="K95" s="146">
        <f>K96</f>
        <v>370</v>
      </c>
      <c r="L95" s="146">
        <f>L96</f>
        <v>370</v>
      </c>
      <c r="M95" s="146">
        <f>M96</f>
        <v>370</v>
      </c>
      <c r="N95" s="146">
        <f>N96</f>
        <v>4208.2</v>
      </c>
    </row>
    <row r="96" spans="1:14" s="46" customFormat="1" ht="27.6">
      <c r="A96" s="43" t="s">
        <v>268</v>
      </c>
      <c r="B96" s="43" t="s">
        <v>129</v>
      </c>
      <c r="C96" s="44" t="s">
        <v>274</v>
      </c>
      <c r="D96" s="45">
        <f>2943.6+494.6+400</f>
        <v>3838.2</v>
      </c>
      <c r="E96" s="147">
        <f>2473.2+494.6</f>
        <v>2967.7999999999997</v>
      </c>
      <c r="F96" s="147">
        <v>180.9</v>
      </c>
      <c r="G96" s="147">
        <f>H96+K96</f>
        <v>370</v>
      </c>
      <c r="H96" s="147"/>
      <c r="I96" s="147"/>
      <c r="J96" s="147"/>
      <c r="K96" s="147">
        <v>370</v>
      </c>
      <c r="L96" s="147">
        <v>370</v>
      </c>
      <c r="M96" s="147">
        <v>370</v>
      </c>
      <c r="N96" s="147">
        <f>D96+G96</f>
        <v>4208.2</v>
      </c>
    </row>
    <row r="97" spans="1:14" ht="27.6">
      <c r="A97" s="15" t="s">
        <v>275</v>
      </c>
      <c r="B97" s="15"/>
      <c r="C97" s="56" t="s">
        <v>276</v>
      </c>
      <c r="D97" s="25">
        <f>381.2+110</f>
        <v>491.2</v>
      </c>
      <c r="E97" s="146"/>
      <c r="F97" s="146"/>
      <c r="G97" s="146"/>
      <c r="H97" s="146"/>
      <c r="I97" s="146"/>
      <c r="J97" s="146"/>
      <c r="K97" s="146"/>
      <c r="L97" s="146"/>
      <c r="M97" s="146"/>
      <c r="N97" s="146">
        <f>D97+G97</f>
        <v>491.2</v>
      </c>
    </row>
    <row r="98" spans="1:14" ht="55.2">
      <c r="A98" s="81" t="s">
        <v>277</v>
      </c>
      <c r="B98" s="81" t="s">
        <v>129</v>
      </c>
      <c r="C98" s="82" t="s">
        <v>278</v>
      </c>
      <c r="D98" s="25">
        <v>491.2</v>
      </c>
      <c r="E98" s="146"/>
      <c r="F98" s="146"/>
      <c r="G98" s="146"/>
      <c r="H98" s="146"/>
      <c r="I98" s="146"/>
      <c r="J98" s="146"/>
      <c r="K98" s="146"/>
      <c r="L98" s="146"/>
      <c r="M98" s="146"/>
      <c r="N98" s="146">
        <f>D98</f>
        <v>491.2</v>
      </c>
    </row>
    <row r="99" spans="1:14">
      <c r="A99" s="14" t="s">
        <v>96</v>
      </c>
      <c r="B99" s="15"/>
      <c r="C99" s="16" t="s">
        <v>15</v>
      </c>
      <c r="D99" s="17">
        <f>D100+D104+D105+D108</f>
        <v>51804.9</v>
      </c>
      <c r="E99" s="145"/>
      <c r="F99" s="145"/>
      <c r="G99" s="145">
        <f>K99</f>
        <v>47641.7</v>
      </c>
      <c r="H99" s="145"/>
      <c r="I99" s="145"/>
      <c r="J99" s="145"/>
      <c r="K99" s="145">
        <f>K102+K106+K107+K108+K109+K103</f>
        <v>47641.7</v>
      </c>
      <c r="L99" s="145">
        <f t="shared" ref="L99:M99" si="12">L102+L106+L107+L108+L109+L103</f>
        <v>47641.7</v>
      </c>
      <c r="M99" s="145">
        <f t="shared" si="12"/>
        <v>45641.7</v>
      </c>
      <c r="N99" s="145">
        <f t="shared" si="1"/>
        <v>99446.6</v>
      </c>
    </row>
    <row r="100" spans="1:14" ht="46.8">
      <c r="A100" s="15" t="s">
        <v>97</v>
      </c>
      <c r="B100" s="15" t="s">
        <v>98</v>
      </c>
      <c r="C100" s="52" t="s">
        <v>99</v>
      </c>
      <c r="D100" s="25">
        <v>500</v>
      </c>
      <c r="E100" s="146"/>
      <c r="F100" s="146"/>
      <c r="G100" s="146">
        <f>K100</f>
        <v>0</v>
      </c>
      <c r="H100" s="146"/>
      <c r="I100" s="146"/>
      <c r="J100" s="146"/>
      <c r="K100" s="146"/>
      <c r="L100" s="146"/>
      <c r="M100" s="146"/>
      <c r="N100" s="146">
        <f t="shared" si="1"/>
        <v>500</v>
      </c>
    </row>
    <row r="101" spans="1:14" ht="31.2">
      <c r="A101" s="15" t="s">
        <v>100</v>
      </c>
      <c r="B101" s="15"/>
      <c r="C101" s="52" t="s">
        <v>101</v>
      </c>
      <c r="D101" s="25"/>
      <c r="E101" s="146"/>
      <c r="F101" s="146"/>
      <c r="G101" s="146">
        <f>G102+G103</f>
        <v>21012.799999999999</v>
      </c>
      <c r="H101" s="146"/>
      <c r="I101" s="146"/>
      <c r="J101" s="146"/>
      <c r="K101" s="146">
        <f t="shared" ref="K101:M101" si="13">K102+K103</f>
        <v>21012.799999999999</v>
      </c>
      <c r="L101" s="146">
        <f t="shared" si="13"/>
        <v>21012.799999999999</v>
      </c>
      <c r="M101" s="146">
        <f t="shared" si="13"/>
        <v>19012.8</v>
      </c>
      <c r="N101" s="146">
        <f t="shared" si="1"/>
        <v>21012.799999999999</v>
      </c>
    </row>
    <row r="102" spans="1:14" s="46" customFormat="1">
      <c r="A102" s="43" t="s">
        <v>102</v>
      </c>
      <c r="B102" s="43" t="s">
        <v>98</v>
      </c>
      <c r="C102" s="57" t="s">
        <v>263</v>
      </c>
      <c r="D102" s="45"/>
      <c r="E102" s="147"/>
      <c r="F102" s="147"/>
      <c r="G102" s="147">
        <f>H102+K102</f>
        <v>19012.8</v>
      </c>
      <c r="H102" s="147"/>
      <c r="I102" s="147"/>
      <c r="J102" s="147"/>
      <c r="K102" s="147">
        <f>4000+812.8+5000+9200</f>
        <v>19012.8</v>
      </c>
      <c r="L102" s="147">
        <f>4000+812.8+5000+9200</f>
        <v>19012.8</v>
      </c>
      <c r="M102" s="147">
        <f>2000+812.8+5000+9200</f>
        <v>17012.8</v>
      </c>
      <c r="N102" s="147">
        <f t="shared" si="1"/>
        <v>19012.8</v>
      </c>
    </row>
    <row r="103" spans="1:14" s="46" customFormat="1" ht="41.4">
      <c r="A103" s="43" t="s">
        <v>289</v>
      </c>
      <c r="B103" s="43" t="s">
        <v>98</v>
      </c>
      <c r="C103" s="57" t="s">
        <v>288</v>
      </c>
      <c r="D103" s="45"/>
      <c r="E103" s="147"/>
      <c r="F103" s="147"/>
      <c r="G103" s="147">
        <f>H103+K103</f>
        <v>2000</v>
      </c>
      <c r="H103" s="147"/>
      <c r="I103" s="147"/>
      <c r="J103" s="147"/>
      <c r="K103" s="147">
        <v>2000</v>
      </c>
      <c r="L103" s="147">
        <v>2000</v>
      </c>
      <c r="M103" s="147">
        <v>2000</v>
      </c>
      <c r="N103" s="147">
        <f t="shared" si="1"/>
        <v>2000</v>
      </c>
    </row>
    <row r="104" spans="1:14" ht="31.2">
      <c r="A104" s="15" t="s">
        <v>103</v>
      </c>
      <c r="B104" s="15" t="s">
        <v>98</v>
      </c>
      <c r="C104" s="52" t="s">
        <v>105</v>
      </c>
      <c r="D104" s="25">
        <v>3000</v>
      </c>
      <c r="E104" s="146"/>
      <c r="F104" s="146"/>
      <c r="G104" s="146"/>
      <c r="H104" s="146"/>
      <c r="I104" s="146"/>
      <c r="J104" s="146"/>
      <c r="K104" s="146"/>
      <c r="L104" s="146"/>
      <c r="M104" s="172"/>
      <c r="N104" s="146">
        <f t="shared" si="1"/>
        <v>3000</v>
      </c>
    </row>
    <row r="105" spans="1:14" ht="31.2">
      <c r="A105" s="15" t="s">
        <v>104</v>
      </c>
      <c r="B105" s="15"/>
      <c r="C105" s="52" t="s">
        <v>106</v>
      </c>
      <c r="D105" s="25">
        <f>D107+D106</f>
        <v>632</v>
      </c>
      <c r="E105" s="146"/>
      <c r="F105" s="146"/>
      <c r="G105" s="146">
        <f t="shared" ref="G105:M105" si="14">G107+G106</f>
        <v>6916.4</v>
      </c>
      <c r="H105" s="146"/>
      <c r="I105" s="146"/>
      <c r="J105" s="146"/>
      <c r="K105" s="146">
        <f t="shared" si="14"/>
        <v>6916.4</v>
      </c>
      <c r="L105" s="146">
        <f t="shared" si="14"/>
        <v>6916.4</v>
      </c>
      <c r="M105" s="146">
        <f t="shared" si="14"/>
        <v>6916.4</v>
      </c>
      <c r="N105" s="146">
        <f t="shared" si="1"/>
        <v>7548.4</v>
      </c>
    </row>
    <row r="106" spans="1:14" s="46" customFormat="1" ht="31.2">
      <c r="A106" s="43" t="s">
        <v>109</v>
      </c>
      <c r="B106" s="43" t="s">
        <v>110</v>
      </c>
      <c r="C106" s="37" t="s">
        <v>107</v>
      </c>
      <c r="D106" s="58"/>
      <c r="E106" s="150"/>
      <c r="F106" s="150"/>
      <c r="G106" s="150">
        <f>H106+K106</f>
        <v>3630</v>
      </c>
      <c r="H106" s="150"/>
      <c r="I106" s="150"/>
      <c r="J106" s="150"/>
      <c r="K106" s="150">
        <f>3630-500+500</f>
        <v>3630</v>
      </c>
      <c r="L106" s="150">
        <f>3630-500+500</f>
        <v>3630</v>
      </c>
      <c r="M106" s="150">
        <f>3630-500+500</f>
        <v>3630</v>
      </c>
      <c r="N106" s="147">
        <f t="shared" si="1"/>
        <v>3630</v>
      </c>
    </row>
    <row r="107" spans="1:14" s="46" customFormat="1" ht="31.2">
      <c r="A107" s="43" t="s">
        <v>111</v>
      </c>
      <c r="B107" s="43" t="s">
        <v>110</v>
      </c>
      <c r="C107" s="37" t="s">
        <v>108</v>
      </c>
      <c r="D107" s="51">
        <v>632</v>
      </c>
      <c r="E107" s="150"/>
      <c r="F107" s="150"/>
      <c r="G107" s="150">
        <f>H107+K107</f>
        <v>3286.4</v>
      </c>
      <c r="H107" s="150"/>
      <c r="I107" s="150"/>
      <c r="J107" s="150"/>
      <c r="K107" s="150">
        <f>3286.4</f>
        <v>3286.4</v>
      </c>
      <c r="L107" s="150">
        <f>3286.4</f>
        <v>3286.4</v>
      </c>
      <c r="M107" s="150">
        <f>3286.4</f>
        <v>3286.4</v>
      </c>
      <c r="N107" s="147">
        <f t="shared" si="1"/>
        <v>3918.4</v>
      </c>
    </row>
    <row r="108" spans="1:14">
      <c r="A108" s="15" t="s">
        <v>112</v>
      </c>
      <c r="B108" s="15" t="s">
        <v>110</v>
      </c>
      <c r="C108" s="59" t="s">
        <v>24</v>
      </c>
      <c r="D108" s="31">
        <f>42916.6+2000+2000+1086.8-330.5</f>
        <v>47672.9</v>
      </c>
      <c r="E108" s="148"/>
      <c r="F108" s="148"/>
      <c r="G108" s="148">
        <f>K108</f>
        <v>4712.5</v>
      </c>
      <c r="H108" s="148"/>
      <c r="I108" s="148"/>
      <c r="J108" s="148"/>
      <c r="K108" s="148">
        <f>1500+2831+381.5</f>
        <v>4712.5</v>
      </c>
      <c r="L108" s="148">
        <f>1500+2831+381.5</f>
        <v>4712.5</v>
      </c>
      <c r="M108" s="148">
        <f>1500+2831+381.5</f>
        <v>4712.5</v>
      </c>
      <c r="N108" s="146">
        <f t="shared" si="1"/>
        <v>52385.4</v>
      </c>
    </row>
    <row r="109" spans="1:14" ht="31.2">
      <c r="A109" s="15" t="s">
        <v>113</v>
      </c>
      <c r="B109" s="15" t="s">
        <v>114</v>
      </c>
      <c r="C109" s="52" t="s">
        <v>115</v>
      </c>
      <c r="D109" s="25"/>
      <c r="E109" s="146"/>
      <c r="F109" s="146"/>
      <c r="G109" s="146">
        <f>H109+K109</f>
        <v>15000</v>
      </c>
      <c r="H109" s="146"/>
      <c r="I109" s="146"/>
      <c r="J109" s="146"/>
      <c r="K109" s="146">
        <f>10000+5000</f>
        <v>15000</v>
      </c>
      <c r="L109" s="146">
        <f>10000+5000</f>
        <v>15000</v>
      </c>
      <c r="M109" s="146">
        <f>10000+5000</f>
        <v>15000</v>
      </c>
      <c r="N109" s="146">
        <f t="shared" ref="N109:N118" si="15">D109+G109</f>
        <v>15000</v>
      </c>
    </row>
    <row r="110" spans="1:14">
      <c r="A110" s="14" t="s">
        <v>131</v>
      </c>
      <c r="B110" s="15"/>
      <c r="C110" s="16" t="s">
        <v>20</v>
      </c>
      <c r="D110" s="17">
        <f>D111+D114</f>
        <v>130</v>
      </c>
      <c r="E110" s="145"/>
      <c r="F110" s="145"/>
      <c r="G110" s="145">
        <f>H110+K110</f>
        <v>71489.2</v>
      </c>
      <c r="H110" s="145"/>
      <c r="I110" s="145"/>
      <c r="J110" s="145"/>
      <c r="K110" s="145">
        <f>K111+K113</f>
        <v>71489.2</v>
      </c>
      <c r="L110" s="145">
        <f>L111+L113</f>
        <v>71489.2</v>
      </c>
      <c r="M110" s="145">
        <f>M111+M113</f>
        <v>66479.199999999997</v>
      </c>
      <c r="N110" s="145">
        <f t="shared" si="15"/>
        <v>71619.199999999997</v>
      </c>
    </row>
    <row r="111" spans="1:14" ht="31.2">
      <c r="A111" s="15" t="s">
        <v>132</v>
      </c>
      <c r="B111" s="15" t="s">
        <v>133</v>
      </c>
      <c r="C111" s="52" t="s">
        <v>134</v>
      </c>
      <c r="D111" s="31"/>
      <c r="E111" s="148"/>
      <c r="F111" s="148"/>
      <c r="G111" s="148">
        <f>H111+K111</f>
        <v>71289.2</v>
      </c>
      <c r="H111" s="148"/>
      <c r="I111" s="148"/>
      <c r="J111" s="148"/>
      <c r="K111" s="148">
        <f>41870+22000+500+3000+100+3812.2+7</f>
        <v>71289.2</v>
      </c>
      <c r="L111" s="148">
        <f>41870+22000+500+3000+100+3812.2+7</f>
        <v>71289.2</v>
      </c>
      <c r="M111" s="148">
        <f>41870+22000+500+100+1802.2+7</f>
        <v>66279.199999999997</v>
      </c>
      <c r="N111" s="148">
        <f t="shared" si="15"/>
        <v>71289.2</v>
      </c>
    </row>
    <row r="112" spans="1:14" ht="31.2">
      <c r="A112" s="15" t="s">
        <v>135</v>
      </c>
      <c r="B112" s="15"/>
      <c r="C112" s="52" t="s">
        <v>136</v>
      </c>
      <c r="D112" s="31"/>
      <c r="E112" s="148"/>
      <c r="F112" s="148"/>
      <c r="G112" s="148">
        <f>G113</f>
        <v>200</v>
      </c>
      <c r="H112" s="148"/>
      <c r="I112" s="148"/>
      <c r="J112" s="148"/>
      <c r="K112" s="148">
        <f>K113</f>
        <v>200</v>
      </c>
      <c r="L112" s="148">
        <f>L113</f>
        <v>200</v>
      </c>
      <c r="M112" s="148">
        <f>M113</f>
        <v>200</v>
      </c>
      <c r="N112" s="148">
        <f t="shared" si="15"/>
        <v>200</v>
      </c>
    </row>
    <row r="113" spans="1:15" ht="31.2">
      <c r="A113" s="43" t="s">
        <v>137</v>
      </c>
      <c r="B113" s="43" t="s">
        <v>64</v>
      </c>
      <c r="C113" s="37" t="s">
        <v>252</v>
      </c>
      <c r="D113" s="45"/>
      <c r="E113" s="147"/>
      <c r="F113" s="147"/>
      <c r="G113" s="147">
        <f>H113+K113</f>
        <v>200</v>
      </c>
      <c r="H113" s="147"/>
      <c r="I113" s="147"/>
      <c r="J113" s="147"/>
      <c r="K113" s="147">
        <v>200</v>
      </c>
      <c r="L113" s="147">
        <v>200</v>
      </c>
      <c r="M113" s="147">
        <v>200</v>
      </c>
      <c r="N113" s="147">
        <f t="shared" si="15"/>
        <v>200</v>
      </c>
    </row>
    <row r="114" spans="1:15" ht="27.6">
      <c r="A114" s="15" t="s">
        <v>138</v>
      </c>
      <c r="B114" s="15" t="s">
        <v>139</v>
      </c>
      <c r="C114" s="54" t="s">
        <v>30</v>
      </c>
      <c r="D114" s="25">
        <f>130</f>
        <v>130</v>
      </c>
      <c r="E114" s="146"/>
      <c r="F114" s="146"/>
      <c r="G114" s="146"/>
      <c r="H114" s="146"/>
      <c r="I114" s="146"/>
      <c r="J114" s="146"/>
      <c r="K114" s="146"/>
      <c r="L114" s="146"/>
      <c r="M114" s="146"/>
      <c r="N114" s="146">
        <f t="shared" si="15"/>
        <v>130</v>
      </c>
    </row>
    <row r="115" spans="1:15" ht="27.6">
      <c r="A115" s="14" t="s">
        <v>140</v>
      </c>
      <c r="B115" s="15"/>
      <c r="C115" s="16" t="s">
        <v>31</v>
      </c>
      <c r="D115" s="17">
        <f>D116</f>
        <v>2000</v>
      </c>
      <c r="E115" s="145">
        <f t="shared" ref="E115:M115" si="16">E116</f>
        <v>0</v>
      </c>
      <c r="F115" s="145">
        <f t="shared" si="16"/>
        <v>0</v>
      </c>
      <c r="G115" s="145">
        <f t="shared" si="16"/>
        <v>17850</v>
      </c>
      <c r="H115" s="145">
        <f t="shared" si="16"/>
        <v>0</v>
      </c>
      <c r="I115" s="145">
        <f t="shared" si="16"/>
        <v>0</v>
      </c>
      <c r="J115" s="145">
        <f t="shared" si="16"/>
        <v>0</v>
      </c>
      <c r="K115" s="145">
        <f t="shared" si="16"/>
        <v>17850</v>
      </c>
      <c r="L115" s="145">
        <f t="shared" si="16"/>
        <v>17850</v>
      </c>
      <c r="M115" s="145">
        <f t="shared" si="16"/>
        <v>17850</v>
      </c>
      <c r="N115" s="145">
        <f t="shared" si="15"/>
        <v>19850</v>
      </c>
    </row>
    <row r="116" spans="1:15" ht="15.6">
      <c r="A116" s="15" t="s">
        <v>147</v>
      </c>
      <c r="B116" s="15" t="s">
        <v>148</v>
      </c>
      <c r="C116" s="52" t="s">
        <v>146</v>
      </c>
      <c r="D116" s="60">
        <v>2000</v>
      </c>
      <c r="E116" s="152"/>
      <c r="F116" s="152"/>
      <c r="G116" s="152">
        <f>H116+K116</f>
        <v>17850</v>
      </c>
      <c r="H116" s="152"/>
      <c r="I116" s="152"/>
      <c r="J116" s="152"/>
      <c r="K116" s="152">
        <v>17850</v>
      </c>
      <c r="L116" s="152">
        <v>17850</v>
      </c>
      <c r="M116" s="152">
        <v>17850</v>
      </c>
      <c r="N116" s="152">
        <f t="shared" si="15"/>
        <v>19850</v>
      </c>
    </row>
    <row r="117" spans="1:15">
      <c r="A117" s="14" t="s">
        <v>149</v>
      </c>
      <c r="B117" s="15"/>
      <c r="C117" s="16" t="s">
        <v>28</v>
      </c>
      <c r="D117" s="17">
        <f>D119+D120</f>
        <v>2185.5</v>
      </c>
      <c r="E117" s="145"/>
      <c r="F117" s="145"/>
      <c r="G117" s="145">
        <f>K117</f>
        <v>0</v>
      </c>
      <c r="H117" s="145"/>
      <c r="I117" s="145"/>
      <c r="J117" s="145"/>
      <c r="K117" s="145">
        <f>K120</f>
        <v>0</v>
      </c>
      <c r="L117" s="145">
        <f>L120</f>
        <v>0</v>
      </c>
      <c r="M117" s="145">
        <f>M120</f>
        <v>0</v>
      </c>
      <c r="N117" s="145">
        <f t="shared" si="15"/>
        <v>2185.5</v>
      </c>
    </row>
    <row r="118" spans="1:15">
      <c r="A118" s="15" t="s">
        <v>150</v>
      </c>
      <c r="B118" s="15"/>
      <c r="C118" s="3" t="s">
        <v>151</v>
      </c>
      <c r="D118" s="17">
        <f>D119+D120</f>
        <v>2185.5</v>
      </c>
      <c r="E118" s="145"/>
      <c r="F118" s="145"/>
      <c r="G118" s="145">
        <f t="shared" ref="G118:M118" si="17">G119+G120</f>
        <v>0</v>
      </c>
      <c r="H118" s="145"/>
      <c r="I118" s="145"/>
      <c r="J118" s="145"/>
      <c r="K118" s="145">
        <f t="shared" si="17"/>
        <v>0</v>
      </c>
      <c r="L118" s="145">
        <f t="shared" si="17"/>
        <v>0</v>
      </c>
      <c r="M118" s="145">
        <f t="shared" si="17"/>
        <v>0</v>
      </c>
      <c r="N118" s="145">
        <f t="shared" si="15"/>
        <v>2185.5</v>
      </c>
      <c r="O118" s="61"/>
    </row>
    <row r="119" spans="1:15" s="46" customFormat="1" ht="27.6">
      <c r="A119" s="43" t="s">
        <v>152</v>
      </c>
      <c r="B119" s="43" t="s">
        <v>153</v>
      </c>
      <c r="C119" s="62" t="s">
        <v>155</v>
      </c>
      <c r="D119" s="51">
        <v>1108</v>
      </c>
      <c r="E119" s="150"/>
      <c r="F119" s="150"/>
      <c r="G119" s="150"/>
      <c r="H119" s="150"/>
      <c r="I119" s="150"/>
      <c r="J119" s="150"/>
      <c r="K119" s="150"/>
      <c r="L119" s="150"/>
      <c r="M119" s="150"/>
      <c r="N119" s="150">
        <f t="shared" ref="N119:N139" si="18">D119+G119</f>
        <v>1108</v>
      </c>
    </row>
    <row r="120" spans="1:15" s="46" customFormat="1" ht="27.6">
      <c r="A120" s="43" t="s">
        <v>154</v>
      </c>
      <c r="B120" s="43" t="s">
        <v>153</v>
      </c>
      <c r="C120" s="62" t="s">
        <v>156</v>
      </c>
      <c r="D120" s="51">
        <v>1077.5</v>
      </c>
      <c r="E120" s="150"/>
      <c r="F120" s="150"/>
      <c r="G120" s="150">
        <f>H120+K120</f>
        <v>0</v>
      </c>
      <c r="H120" s="150"/>
      <c r="I120" s="150"/>
      <c r="J120" s="150"/>
      <c r="K120" s="150"/>
      <c r="L120" s="150"/>
      <c r="M120" s="150"/>
      <c r="N120" s="150">
        <f t="shared" si="18"/>
        <v>1077.5</v>
      </c>
    </row>
    <row r="121" spans="1:15" s="30" customFormat="1" ht="27.6">
      <c r="A121" s="14" t="s">
        <v>292</v>
      </c>
      <c r="B121" s="14"/>
      <c r="C121" s="29" t="s">
        <v>294</v>
      </c>
      <c r="D121" s="95">
        <f>D122</f>
        <v>0</v>
      </c>
      <c r="E121" s="95">
        <f t="shared" ref="E121:F121" si="19">E122</f>
        <v>0</v>
      </c>
      <c r="F121" s="95">
        <f t="shared" si="19"/>
        <v>0</v>
      </c>
      <c r="G121" s="167">
        <f t="shared" ref="G121:G122" si="20">H121+K121</f>
        <v>0</v>
      </c>
      <c r="H121" s="167">
        <f>H122</f>
        <v>0</v>
      </c>
      <c r="I121" s="167">
        <f t="shared" ref="I121:M121" si="21">I122</f>
        <v>0</v>
      </c>
      <c r="J121" s="167">
        <f t="shared" si="21"/>
        <v>0</v>
      </c>
      <c r="K121" s="167">
        <f t="shared" si="21"/>
        <v>0</v>
      </c>
      <c r="L121" s="167">
        <f t="shared" si="21"/>
        <v>0</v>
      </c>
      <c r="M121" s="167">
        <f t="shared" si="21"/>
        <v>0</v>
      </c>
      <c r="N121" s="150">
        <f t="shared" si="18"/>
        <v>0</v>
      </c>
    </row>
    <row r="122" spans="1:15" s="46" customFormat="1">
      <c r="A122" s="43" t="s">
        <v>293</v>
      </c>
      <c r="B122" s="43" t="s">
        <v>291</v>
      </c>
      <c r="C122" s="62" t="s">
        <v>290</v>
      </c>
      <c r="D122" s="51"/>
      <c r="E122" s="150"/>
      <c r="F122" s="150"/>
      <c r="G122" s="150">
        <f t="shared" si="20"/>
        <v>0</v>
      </c>
      <c r="H122" s="150"/>
      <c r="I122" s="150"/>
      <c r="J122" s="150"/>
      <c r="K122" s="150"/>
      <c r="L122" s="150"/>
      <c r="M122" s="150"/>
      <c r="N122" s="150">
        <f t="shared" si="18"/>
        <v>0</v>
      </c>
    </row>
    <row r="123" spans="1:15" s="23" customFormat="1" ht="27.6">
      <c r="A123" s="39" t="s">
        <v>157</v>
      </c>
      <c r="B123" s="19"/>
      <c r="C123" s="63" t="s">
        <v>32</v>
      </c>
      <c r="D123" s="32">
        <f>D125+D126+D124</f>
        <v>8418.2000000000007</v>
      </c>
      <c r="E123" s="145"/>
      <c r="F123" s="145"/>
      <c r="G123" s="145">
        <f>H123+K123</f>
        <v>4000</v>
      </c>
      <c r="H123" s="145"/>
      <c r="I123" s="145"/>
      <c r="J123" s="145"/>
      <c r="K123" s="145">
        <f>K125+K126+K124</f>
        <v>4000</v>
      </c>
      <c r="L123" s="145">
        <f>L125+L126+L124</f>
        <v>4000</v>
      </c>
      <c r="M123" s="145">
        <f>M125+M126+M124</f>
        <v>3000</v>
      </c>
      <c r="N123" s="153">
        <f t="shared" si="18"/>
        <v>12418.2</v>
      </c>
    </row>
    <row r="124" spans="1:15">
      <c r="A124" s="15" t="s">
        <v>158</v>
      </c>
      <c r="B124" s="15" t="s">
        <v>159</v>
      </c>
      <c r="C124" s="1" t="s">
        <v>160</v>
      </c>
      <c r="D124" s="25">
        <v>100</v>
      </c>
      <c r="E124" s="146"/>
      <c r="F124" s="146"/>
      <c r="G124" s="146">
        <f>K124</f>
        <v>1000</v>
      </c>
      <c r="H124" s="146"/>
      <c r="I124" s="146"/>
      <c r="J124" s="146"/>
      <c r="K124" s="146">
        <v>1000</v>
      </c>
      <c r="L124" s="146">
        <v>1000</v>
      </c>
      <c r="M124" s="146"/>
      <c r="N124" s="146">
        <f t="shared" si="18"/>
        <v>1100</v>
      </c>
    </row>
    <row r="125" spans="1:15" s="23" customFormat="1" ht="55.2">
      <c r="A125" s="19" t="s">
        <v>253</v>
      </c>
      <c r="B125" s="19" t="s">
        <v>133</v>
      </c>
      <c r="C125" s="24" t="s">
        <v>33</v>
      </c>
      <c r="D125" s="21"/>
      <c r="E125" s="146"/>
      <c r="F125" s="146"/>
      <c r="G125" s="146">
        <f>K125</f>
        <v>3000</v>
      </c>
      <c r="H125" s="146"/>
      <c r="I125" s="146"/>
      <c r="J125" s="146"/>
      <c r="K125" s="146">
        <v>3000</v>
      </c>
      <c r="L125" s="146">
        <v>3000</v>
      </c>
      <c r="M125" s="146">
        <v>3000</v>
      </c>
      <c r="N125" s="146">
        <f t="shared" si="18"/>
        <v>3000</v>
      </c>
    </row>
    <row r="126" spans="1:15">
      <c r="A126" s="15" t="s">
        <v>161</v>
      </c>
      <c r="B126" s="15" t="s">
        <v>162</v>
      </c>
      <c r="C126" s="54" t="s">
        <v>34</v>
      </c>
      <c r="D126" s="25">
        <f>6313.2+2000+5</f>
        <v>8318.2000000000007</v>
      </c>
      <c r="E126" s="146"/>
      <c r="F126" s="146"/>
      <c r="G126" s="146">
        <f>K126</f>
        <v>0</v>
      </c>
      <c r="H126" s="146"/>
      <c r="I126" s="146"/>
      <c r="J126" s="146"/>
      <c r="K126" s="146"/>
      <c r="L126" s="146"/>
      <c r="M126" s="146"/>
      <c r="N126" s="146">
        <f t="shared" si="18"/>
        <v>8318.2000000000007</v>
      </c>
    </row>
    <row r="127" spans="1:15" ht="31.2">
      <c r="A127" s="14" t="s">
        <v>284</v>
      </c>
      <c r="B127" s="15"/>
      <c r="C127" s="94" t="s">
        <v>281</v>
      </c>
      <c r="D127" s="96">
        <f>D128</f>
        <v>389.38211999999999</v>
      </c>
      <c r="E127" s="153"/>
      <c r="F127" s="153"/>
      <c r="G127" s="164">
        <f>H127</f>
        <v>310.61788000000001</v>
      </c>
      <c r="H127" s="164">
        <f>H128</f>
        <v>310.61788000000001</v>
      </c>
      <c r="I127" s="167"/>
      <c r="J127" s="167"/>
      <c r="K127" s="167"/>
      <c r="L127" s="167"/>
      <c r="M127" s="167"/>
      <c r="N127" s="173">
        <f t="shared" si="18"/>
        <v>700</v>
      </c>
    </row>
    <row r="128" spans="1:15" ht="31.2">
      <c r="A128" s="15" t="s">
        <v>285</v>
      </c>
      <c r="B128" s="15"/>
      <c r="C128" s="91" t="s">
        <v>282</v>
      </c>
      <c r="D128" s="97">
        <f>D129</f>
        <v>389.38211999999999</v>
      </c>
      <c r="E128" s="152"/>
      <c r="F128" s="152"/>
      <c r="G128" s="165">
        <f>H128</f>
        <v>310.61788000000001</v>
      </c>
      <c r="H128" s="165">
        <f>H129</f>
        <v>310.61788000000001</v>
      </c>
      <c r="I128" s="148"/>
      <c r="J128" s="148"/>
      <c r="K128" s="148"/>
      <c r="L128" s="148"/>
      <c r="M128" s="148"/>
      <c r="N128" s="174">
        <f t="shared" si="18"/>
        <v>700</v>
      </c>
    </row>
    <row r="129" spans="1:14" ht="15.6">
      <c r="A129" s="15" t="s">
        <v>286</v>
      </c>
      <c r="B129" s="15" t="s">
        <v>114</v>
      </c>
      <c r="C129" s="91" t="s">
        <v>283</v>
      </c>
      <c r="D129" s="97">
        <v>389.38211999999999</v>
      </c>
      <c r="E129" s="152"/>
      <c r="F129" s="152"/>
      <c r="G129" s="165">
        <f>H129</f>
        <v>310.61788000000001</v>
      </c>
      <c r="H129" s="165">
        <v>310.61788000000001</v>
      </c>
      <c r="I129" s="148"/>
      <c r="J129" s="148"/>
      <c r="K129" s="148"/>
      <c r="L129" s="148"/>
      <c r="M129" s="148"/>
      <c r="N129" s="174">
        <f t="shared" si="18"/>
        <v>700</v>
      </c>
    </row>
    <row r="130" spans="1:14" ht="27.6">
      <c r="A130" s="14" t="s">
        <v>164</v>
      </c>
      <c r="B130" s="15"/>
      <c r="C130" s="16" t="s">
        <v>35</v>
      </c>
      <c r="D130" s="17">
        <f>D131</f>
        <v>190.3</v>
      </c>
      <c r="E130" s="145"/>
      <c r="F130" s="145"/>
      <c r="G130" s="145"/>
      <c r="H130" s="145"/>
      <c r="I130" s="145"/>
      <c r="J130" s="145"/>
      <c r="K130" s="145"/>
      <c r="L130" s="145"/>
      <c r="M130" s="145"/>
      <c r="N130" s="145">
        <f t="shared" si="18"/>
        <v>190.3</v>
      </c>
    </row>
    <row r="131" spans="1:14" ht="41.4">
      <c r="A131" s="15" t="s">
        <v>163</v>
      </c>
      <c r="B131" s="15" t="s">
        <v>165</v>
      </c>
      <c r="C131" s="59" t="s">
        <v>36</v>
      </c>
      <c r="D131" s="31">
        <v>190.3</v>
      </c>
      <c r="E131" s="148"/>
      <c r="F131" s="148"/>
      <c r="G131" s="148"/>
      <c r="H131" s="148"/>
      <c r="I131" s="148"/>
      <c r="J131" s="148"/>
      <c r="K131" s="148"/>
      <c r="L131" s="148"/>
      <c r="M131" s="148"/>
      <c r="N131" s="148">
        <f t="shared" si="18"/>
        <v>190.3</v>
      </c>
    </row>
    <row r="132" spans="1:14">
      <c r="A132" s="14" t="s">
        <v>171</v>
      </c>
      <c r="B132" s="15"/>
      <c r="C132" s="16" t="s">
        <v>21</v>
      </c>
      <c r="D132" s="17">
        <f>D133+D134+D136+D135</f>
        <v>38472.217879999997</v>
      </c>
      <c r="E132" s="145"/>
      <c r="F132" s="145"/>
      <c r="G132" s="145">
        <f>H132+K132</f>
        <v>5394.8</v>
      </c>
      <c r="H132" s="145"/>
      <c r="I132" s="145"/>
      <c r="J132" s="145"/>
      <c r="K132" s="145">
        <f>K136+K135</f>
        <v>5394.8</v>
      </c>
      <c r="L132" s="145">
        <f>L136+L135</f>
        <v>5394.8</v>
      </c>
      <c r="M132" s="145">
        <f>M136+M135</f>
        <v>5394.8</v>
      </c>
      <c r="N132" s="145">
        <f t="shared" si="18"/>
        <v>43867.017879999999</v>
      </c>
    </row>
    <row r="133" spans="1:14">
      <c r="A133" s="15" t="s">
        <v>172</v>
      </c>
      <c r="B133" s="15" t="s">
        <v>170</v>
      </c>
      <c r="C133" s="2" t="s">
        <v>23</v>
      </c>
      <c r="D133" s="25">
        <v>1500</v>
      </c>
      <c r="E133" s="146"/>
      <c r="F133" s="146"/>
      <c r="G133" s="146"/>
      <c r="H133" s="146"/>
      <c r="I133" s="146"/>
      <c r="J133" s="146"/>
      <c r="K133" s="146"/>
      <c r="L133" s="146"/>
      <c r="M133" s="146"/>
      <c r="N133" s="146">
        <f t="shared" si="18"/>
        <v>1500</v>
      </c>
    </row>
    <row r="134" spans="1:14" ht="15.6">
      <c r="A134" s="15" t="s">
        <v>173</v>
      </c>
      <c r="B134" s="15" t="s">
        <v>51</v>
      </c>
      <c r="C134" s="52" t="s">
        <v>40</v>
      </c>
      <c r="D134" s="60">
        <v>32057.7</v>
      </c>
      <c r="E134" s="146"/>
      <c r="F134" s="146"/>
      <c r="G134" s="146"/>
      <c r="H134" s="146"/>
      <c r="I134" s="146"/>
      <c r="J134" s="146"/>
      <c r="K134" s="146"/>
      <c r="L134" s="146"/>
      <c r="M134" s="146"/>
      <c r="N134" s="146">
        <f t="shared" si="18"/>
        <v>32057.7</v>
      </c>
    </row>
    <row r="135" spans="1:14" ht="62.4">
      <c r="A135" s="15" t="s">
        <v>269</v>
      </c>
      <c r="B135" s="15" t="s">
        <v>51</v>
      </c>
      <c r="C135" s="77" t="s">
        <v>270</v>
      </c>
      <c r="D135" s="25">
        <f>505+629.5+244.2-50</f>
        <v>1328.7</v>
      </c>
      <c r="E135" s="146"/>
      <c r="F135" s="146"/>
      <c r="G135" s="146">
        <f t="shared" ref="G135:G139" si="22">H135+K135</f>
        <v>2294.8000000000002</v>
      </c>
      <c r="H135" s="146"/>
      <c r="I135" s="146"/>
      <c r="J135" s="146"/>
      <c r="K135" s="146">
        <f>1000+1159+135.8</f>
        <v>2294.8000000000002</v>
      </c>
      <c r="L135" s="146">
        <f>1000+1159+135.8</f>
        <v>2294.8000000000002</v>
      </c>
      <c r="M135" s="146">
        <f>1000+1159+135.8</f>
        <v>2294.8000000000002</v>
      </c>
      <c r="N135" s="146">
        <f t="shared" si="18"/>
        <v>3623.5</v>
      </c>
    </row>
    <row r="136" spans="1:14">
      <c r="A136" s="15" t="s">
        <v>174</v>
      </c>
      <c r="B136" s="15" t="s">
        <v>170</v>
      </c>
      <c r="C136" s="54" t="s">
        <v>19</v>
      </c>
      <c r="D136" s="73">
        <f>9682.8+2000-5000-445.38212-2701.6+50</f>
        <v>3585.8178799999991</v>
      </c>
      <c r="E136" s="146"/>
      <c r="F136" s="146"/>
      <c r="G136" s="146">
        <f t="shared" si="22"/>
        <v>3100</v>
      </c>
      <c r="H136" s="146"/>
      <c r="I136" s="146"/>
      <c r="J136" s="146"/>
      <c r="K136" s="146">
        <f>3000+100-2000+2000</f>
        <v>3100</v>
      </c>
      <c r="L136" s="146">
        <f>3000+100-2000+2000</f>
        <v>3100</v>
      </c>
      <c r="M136" s="146">
        <f>3000+100-2000+2000</f>
        <v>3100</v>
      </c>
      <c r="N136" s="146">
        <f t="shared" si="18"/>
        <v>6685.8178799999987</v>
      </c>
    </row>
    <row r="137" spans="1:14">
      <c r="A137" s="14" t="s">
        <v>166</v>
      </c>
      <c r="B137" s="15"/>
      <c r="C137" s="16" t="s">
        <v>37</v>
      </c>
      <c r="D137" s="17"/>
      <c r="E137" s="145"/>
      <c r="F137" s="145"/>
      <c r="G137" s="145">
        <f t="shared" si="22"/>
        <v>813.8</v>
      </c>
      <c r="H137" s="145">
        <f>H138+H139</f>
        <v>258.8</v>
      </c>
      <c r="I137" s="145"/>
      <c r="J137" s="145"/>
      <c r="K137" s="145">
        <f>K138+K139</f>
        <v>555</v>
      </c>
      <c r="L137" s="145"/>
      <c r="M137" s="145"/>
      <c r="N137" s="145">
        <f t="shared" si="18"/>
        <v>813.8</v>
      </c>
    </row>
    <row r="138" spans="1:14" ht="27.6">
      <c r="A138" s="15" t="s">
        <v>167</v>
      </c>
      <c r="B138" s="15" t="s">
        <v>168</v>
      </c>
      <c r="C138" s="54" t="s">
        <v>38</v>
      </c>
      <c r="D138" s="25"/>
      <c r="E138" s="146"/>
      <c r="F138" s="146"/>
      <c r="G138" s="146">
        <f t="shared" si="22"/>
        <v>808.8</v>
      </c>
      <c r="H138" s="146">
        <f>60+33.8+160</f>
        <v>253.8</v>
      </c>
      <c r="I138" s="146"/>
      <c r="J138" s="146"/>
      <c r="K138" s="146">
        <f>515+200-160</f>
        <v>555</v>
      </c>
      <c r="L138" s="146"/>
      <c r="M138" s="146"/>
      <c r="N138" s="146">
        <f t="shared" si="18"/>
        <v>808.8</v>
      </c>
    </row>
    <row r="139" spans="1:14" ht="55.2">
      <c r="A139" s="15" t="s">
        <v>169</v>
      </c>
      <c r="B139" s="15" t="s">
        <v>170</v>
      </c>
      <c r="C139" s="54" t="s">
        <v>39</v>
      </c>
      <c r="D139" s="25"/>
      <c r="E139" s="146"/>
      <c r="F139" s="146"/>
      <c r="G139" s="146">
        <f t="shared" si="22"/>
        <v>5</v>
      </c>
      <c r="H139" s="146">
        <v>5</v>
      </c>
      <c r="I139" s="146"/>
      <c r="J139" s="146"/>
      <c r="K139" s="146"/>
      <c r="L139" s="146"/>
      <c r="M139" s="146"/>
      <c r="N139" s="146">
        <f t="shared" si="18"/>
        <v>5</v>
      </c>
    </row>
    <row r="140" spans="1:14">
      <c r="A140" s="176"/>
      <c r="B140" s="176"/>
      <c r="C140" s="177"/>
      <c r="D140" s="166">
        <f>D15+D18+D33+D36+D85+D91+D99+D110+D115+D117+D123+D127+D130+D132+D137+D121</f>
        <v>571893.79579999996</v>
      </c>
      <c r="E140" s="166">
        <f t="shared" ref="E140:F140" si="23">E15+E18+E33+E36+E85+E91+E99+E110+E115+E117+E123+E127+E130+E132+E137+E121</f>
        <v>272964.09999999998</v>
      </c>
      <c r="F140" s="166">
        <f t="shared" si="23"/>
        <v>27303.700000000008</v>
      </c>
      <c r="G140" s="166">
        <f>H140+K140</f>
        <v>185085.02653</v>
      </c>
      <c r="H140" s="166">
        <f>H15+H18+H33+H36+H99+H117+H123+H130+H137+H85+H91+H110+H115+H127+H132+H121</f>
        <v>17549.825530000002</v>
      </c>
      <c r="I140" s="166">
        <f t="shared" ref="I140:M140" si="24">I15+I18+I33+I36+I99+I117+I123+I130+I137+I85+I91+I110+I115+I127+I132+I121</f>
        <v>5314.5229999999992</v>
      </c>
      <c r="J140" s="166">
        <f t="shared" si="24"/>
        <v>488.09999999999997</v>
      </c>
      <c r="K140" s="166">
        <f t="shared" si="24"/>
        <v>167535.201</v>
      </c>
      <c r="L140" s="166">
        <f t="shared" si="24"/>
        <v>166861.19999999998</v>
      </c>
      <c r="M140" s="166">
        <f t="shared" si="24"/>
        <v>158851.19999999998</v>
      </c>
      <c r="N140" s="166">
        <f>D140+G140</f>
        <v>756978.82233</v>
      </c>
    </row>
    <row r="141" spans="1:14">
      <c r="L141" s="175"/>
      <c r="M141" s="175"/>
      <c r="N141" s="175"/>
    </row>
    <row r="142" spans="1:14" s="86" customFormat="1" ht="15.6">
      <c r="A142" s="83"/>
      <c r="B142" s="83"/>
      <c r="C142" s="84" t="s">
        <v>264</v>
      </c>
      <c r="D142" s="85"/>
      <c r="E142" s="154"/>
      <c r="F142" s="154"/>
      <c r="G142" s="154"/>
      <c r="H142" s="154"/>
      <c r="I142" s="154"/>
      <c r="J142" s="154"/>
      <c r="K142" s="154"/>
      <c r="L142" s="154" t="s">
        <v>265</v>
      </c>
      <c r="M142" s="154"/>
      <c r="N142" s="154"/>
    </row>
    <row r="143" spans="1:14" s="68" customFormat="1" ht="13.8">
      <c r="A143" s="4"/>
      <c r="B143" s="4"/>
      <c r="C143" s="67"/>
      <c r="E143" s="155"/>
      <c r="F143" s="155"/>
      <c r="G143" s="155"/>
      <c r="H143" s="155"/>
      <c r="I143" s="155"/>
      <c r="J143" s="168"/>
      <c r="K143" s="155"/>
      <c r="L143" s="155"/>
      <c r="M143" s="155"/>
      <c r="N143" s="155"/>
    </row>
    <row r="144" spans="1:14">
      <c r="D144" s="66"/>
      <c r="E144" s="156"/>
      <c r="F144" s="156"/>
      <c r="G144" s="156"/>
      <c r="H144" s="156"/>
      <c r="I144" s="156"/>
      <c r="J144" s="156"/>
      <c r="K144" s="156"/>
      <c r="L144" s="156"/>
      <c r="M144" s="156"/>
      <c r="N144" s="156"/>
    </row>
    <row r="145" spans="3:14">
      <c r="D145" s="66"/>
      <c r="E145" s="156"/>
      <c r="F145" s="156"/>
      <c r="G145" s="156"/>
      <c r="H145" s="156"/>
      <c r="I145" s="156"/>
      <c r="J145" s="156"/>
      <c r="K145" s="156"/>
      <c r="L145" s="156"/>
      <c r="M145" s="156"/>
      <c r="N145" s="156"/>
    </row>
    <row r="146" spans="3:14">
      <c r="D146" s="66"/>
      <c r="E146" s="156"/>
      <c r="F146" s="156"/>
      <c r="G146" s="156"/>
      <c r="H146" s="156"/>
      <c r="I146" s="156"/>
      <c r="J146" s="156"/>
      <c r="K146" s="156"/>
      <c r="L146" s="156"/>
      <c r="M146" s="156"/>
      <c r="N146" s="156"/>
    </row>
    <row r="147" spans="3:14">
      <c r="D147" s="66"/>
      <c r="E147" s="156"/>
      <c r="F147" s="156"/>
      <c r="G147" s="156"/>
      <c r="H147" s="156"/>
      <c r="I147" s="156"/>
      <c r="J147" s="156"/>
      <c r="K147" s="156"/>
      <c r="L147" s="156"/>
      <c r="M147" s="156"/>
      <c r="N147" s="156"/>
    </row>
    <row r="148" spans="3:14">
      <c r="D148" s="66"/>
      <c r="E148" s="156"/>
      <c r="F148" s="156"/>
      <c r="G148" s="156"/>
      <c r="H148" s="156"/>
      <c r="I148" s="156"/>
      <c r="J148" s="156"/>
      <c r="K148" s="156"/>
      <c r="L148" s="156"/>
      <c r="M148" s="156"/>
      <c r="N148" s="156"/>
    </row>
    <row r="149" spans="3:14">
      <c r="D149" s="66"/>
      <c r="E149" s="156"/>
      <c r="F149" s="156"/>
      <c r="G149" s="156"/>
      <c r="H149" s="156"/>
      <c r="I149" s="156"/>
      <c r="J149" s="156"/>
      <c r="K149" s="156"/>
      <c r="L149" s="156"/>
      <c r="M149" s="156"/>
      <c r="N149" s="156"/>
    </row>
    <row r="150" spans="3:14">
      <c r="D150" s="66"/>
      <c r="E150" s="156"/>
      <c r="F150" s="156"/>
      <c r="G150" s="156"/>
      <c r="H150" s="156"/>
      <c r="I150" s="156"/>
      <c r="J150" s="156"/>
      <c r="K150" s="156"/>
      <c r="L150" s="156"/>
      <c r="M150" s="156"/>
      <c r="N150" s="156"/>
    </row>
    <row r="151" spans="3:14">
      <c r="D151" s="66"/>
      <c r="E151" s="156"/>
      <c r="F151" s="156"/>
      <c r="G151" s="156"/>
      <c r="H151" s="156"/>
      <c r="I151" s="156"/>
      <c r="J151" s="156"/>
      <c r="K151" s="156"/>
      <c r="L151" s="156"/>
      <c r="M151" s="156"/>
      <c r="N151" s="156"/>
    </row>
    <row r="152" spans="3:14">
      <c r="D152" s="66"/>
      <c r="E152" s="156"/>
      <c r="F152" s="156"/>
      <c r="G152" s="156"/>
      <c r="H152" s="156"/>
      <c r="I152" s="156"/>
      <c r="J152" s="156"/>
      <c r="K152" s="156"/>
      <c r="L152" s="156"/>
      <c r="M152" s="156"/>
      <c r="N152" s="156"/>
    </row>
    <row r="153" spans="3:14">
      <c r="D153" s="66"/>
      <c r="E153" s="156"/>
      <c r="F153" s="156"/>
      <c r="G153" s="156"/>
      <c r="H153" s="156"/>
      <c r="I153" s="156"/>
      <c r="J153" s="156"/>
      <c r="K153" s="156"/>
      <c r="L153" s="156"/>
      <c r="M153" s="156"/>
      <c r="N153" s="156"/>
    </row>
    <row r="154" spans="3:14">
      <c r="D154" s="66"/>
      <c r="E154" s="156"/>
      <c r="F154" s="156"/>
      <c r="G154" s="156"/>
      <c r="H154" s="156"/>
      <c r="I154" s="156"/>
      <c r="J154" s="156"/>
      <c r="K154" s="156"/>
      <c r="L154" s="156"/>
      <c r="M154" s="156"/>
      <c r="N154" s="156"/>
    </row>
    <row r="155" spans="3:14">
      <c r="D155" s="66"/>
      <c r="E155" s="156"/>
      <c r="F155" s="156"/>
      <c r="G155" s="156"/>
      <c r="H155" s="156"/>
      <c r="I155" s="156"/>
      <c r="J155" s="156"/>
      <c r="K155" s="156"/>
      <c r="L155" s="156"/>
      <c r="M155" s="156"/>
      <c r="N155" s="156"/>
    </row>
    <row r="156" spans="3:14">
      <c r="D156" s="66"/>
      <c r="E156" s="156"/>
      <c r="F156" s="156"/>
      <c r="G156" s="156"/>
      <c r="H156" s="156"/>
      <c r="I156" s="156"/>
      <c r="J156" s="156"/>
      <c r="K156" s="156"/>
      <c r="L156" s="156"/>
      <c r="M156" s="156"/>
      <c r="N156" s="156"/>
    </row>
    <row r="157" spans="3:14">
      <c r="D157" s="66"/>
      <c r="E157" s="156"/>
      <c r="F157" s="156"/>
      <c r="G157" s="156"/>
      <c r="H157" s="156"/>
      <c r="I157" s="156"/>
      <c r="J157" s="156"/>
      <c r="K157" s="156"/>
      <c r="L157" s="156"/>
      <c r="M157" s="156"/>
      <c r="N157" s="156"/>
    </row>
    <row r="159" spans="3:14">
      <c r="D159" s="66"/>
      <c r="E159" s="156"/>
      <c r="F159" s="156"/>
      <c r="G159" s="156"/>
      <c r="H159" s="156"/>
      <c r="I159" s="156"/>
      <c r="J159" s="156"/>
      <c r="K159" s="156"/>
      <c r="L159" s="156"/>
      <c r="M159" s="156"/>
      <c r="N159" s="156"/>
    </row>
    <row r="160" spans="3:14">
      <c r="C160" s="70"/>
      <c r="D160" s="71"/>
      <c r="E160" s="157"/>
      <c r="F160" s="157"/>
      <c r="G160" s="157"/>
      <c r="H160" s="157"/>
      <c r="I160" s="157"/>
      <c r="J160" s="157"/>
      <c r="K160" s="157"/>
      <c r="L160" s="157"/>
      <c r="M160" s="157"/>
      <c r="N160" s="157"/>
    </row>
    <row r="161" spans="4:14">
      <c r="D161" s="66"/>
      <c r="E161" s="156"/>
      <c r="F161" s="156"/>
      <c r="G161" s="156"/>
      <c r="H161" s="156"/>
      <c r="I161" s="156"/>
      <c r="J161" s="156"/>
      <c r="K161" s="156"/>
      <c r="L161" s="156"/>
      <c r="M161" s="156"/>
      <c r="N161" s="156"/>
    </row>
    <row r="162" spans="4:14">
      <c r="G162" s="156"/>
      <c r="N162" s="156"/>
    </row>
    <row r="163" spans="4:14">
      <c r="G163" s="156"/>
      <c r="N163" s="156"/>
    </row>
    <row r="164" spans="4:14">
      <c r="G164" s="156"/>
      <c r="N164" s="156"/>
    </row>
    <row r="165" spans="4:14">
      <c r="G165" s="156"/>
      <c r="N165" s="156"/>
    </row>
    <row r="166" spans="4:14">
      <c r="G166" s="156"/>
      <c r="N166" s="156"/>
    </row>
    <row r="167" spans="4:14">
      <c r="G167" s="156"/>
      <c r="N167" s="156"/>
    </row>
    <row r="168" spans="4:14">
      <c r="G168" s="156"/>
      <c r="N168" s="156"/>
    </row>
    <row r="169" spans="4:14">
      <c r="G169" s="156"/>
      <c r="N169" s="156"/>
    </row>
    <row r="170" spans="4:14">
      <c r="G170" s="156"/>
      <c r="N170" s="156"/>
    </row>
    <row r="171" spans="4:14">
      <c r="D171" s="66"/>
      <c r="G171" s="156"/>
      <c r="H171" s="156"/>
      <c r="K171" s="156"/>
      <c r="L171" s="156"/>
      <c r="M171" s="156"/>
      <c r="N171" s="156"/>
    </row>
  </sheetData>
  <dataConsolidate>
    <dataRefs count="10">
      <dataRef ref="F41:P41" sheet="Дод. № 3 " r:id="rId1"/>
      <dataRef ref="F62:P62" sheet="Дод. № 3 " r:id="rId2"/>
      <dataRef ref="F72:P72" sheet="Дод. № 3 " r:id="rId3"/>
      <dataRef ref="F120:P120" sheet="Дод. № 3 " r:id="rId4"/>
      <dataRef ref="F126:P126" sheet="Дод. № 3 " r:id="rId5"/>
      <dataRef ref="F134:P134" sheet="Дод. № 3 " r:id="rId6"/>
      <dataRef ref="F153:P153" sheet="Дод. № 3 " r:id="rId7"/>
      <dataRef ref="F159:P159" sheet="Дод. № 3 " r:id="rId8"/>
      <dataRef ref="F169:P169" sheet="Дод. № 3 " r:id="rId9"/>
      <dataRef ref="F173:P173" sheet="Дод. № 3 " r:id="rId10"/>
    </dataRefs>
  </dataConsolidate>
  <mergeCells count="22">
    <mergeCell ref="B10:B13"/>
    <mergeCell ref="H11:H13"/>
    <mergeCell ref="I11:J11"/>
    <mergeCell ref="F12:F13"/>
    <mergeCell ref="L12:L13"/>
    <mergeCell ref="E11:F11"/>
    <mergeCell ref="K2:M2"/>
    <mergeCell ref="I12:I13"/>
    <mergeCell ref="C8:N8"/>
    <mergeCell ref="A6:N6"/>
    <mergeCell ref="A7:N7"/>
    <mergeCell ref="G11:G13"/>
    <mergeCell ref="D11:D13"/>
    <mergeCell ref="K11:K13"/>
    <mergeCell ref="N10:N13"/>
    <mergeCell ref="L11:M11"/>
    <mergeCell ref="D10:F10"/>
    <mergeCell ref="J12:J13"/>
    <mergeCell ref="A10:A13"/>
    <mergeCell ref="E12:E13"/>
    <mergeCell ref="G10:M10"/>
    <mergeCell ref="C10:C13"/>
  </mergeCells>
  <phoneticPr fontId="0" type="noConversion"/>
  <printOptions horizontalCentered="1"/>
  <pageMargins left="0.15748031496062992" right="0.15748031496062992" top="0.31496062992125984" bottom="0.19685039370078741" header="0.31496062992125984" footer="0.15748031496062992"/>
  <pageSetup paperSize="9" scale="58" fitToHeight="9" orientation="landscape" horizontalDpi="4294967293" r:id="rId11"/>
  <rowBreaks count="3" manualBreakCount="3">
    <brk id="26" max="14" man="1"/>
    <brk id="38" max="14" man="1"/>
    <brk id="51" max="13" man="1"/>
  </rowBreaks>
  <legacyDrawing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зміни</vt:lpstr>
      <vt:lpstr>Дод. № 2 _із змінами</vt:lpstr>
      <vt:lpstr>'Дод. № 2 _із змінами'!Заголовки_для_печати</vt:lpstr>
      <vt:lpstr>зміни!Заголовки_для_печати</vt:lpstr>
      <vt:lpstr>'Дод. № 2 _із змінами'!Область_печати</vt:lpstr>
      <vt:lpstr>зміни!Область_печати</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Oksana</cp:lastModifiedBy>
  <cp:lastPrinted>2017-06-16T10:18:09Z</cp:lastPrinted>
  <dcterms:created xsi:type="dcterms:W3CDTF">2012-12-15T07:40:07Z</dcterms:created>
  <dcterms:modified xsi:type="dcterms:W3CDTF">2017-06-16T10:19:05Z</dcterms:modified>
</cp:coreProperties>
</file>