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2\УТОЧНЕННЯ\ЗМІНИ ТЕРОБОРОНА\"/>
    </mc:Choice>
  </mc:AlternateContent>
  <bookViews>
    <workbookView xWindow="768" yWindow="768" windowWidth="17280" windowHeight="9072"/>
  </bookViews>
  <sheets>
    <sheet name="із змінами" sheetId="3" r:id="rId1"/>
  </sheets>
  <definedNames>
    <definedName name="_xlnm.Print_Titles" localSheetId="0">'із змінами'!$14:$18</definedName>
    <definedName name="_xlnm.Print_Area" localSheetId="0">'із змінами'!$A$1:$P$184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2" i="3" l="1"/>
  <c r="F40" i="3"/>
  <c r="F153" i="3" l="1"/>
  <c r="F116" i="3"/>
  <c r="G40" i="3" l="1"/>
  <c r="F175" i="3" l="1"/>
  <c r="G175" i="3"/>
  <c r="H175" i="3"/>
  <c r="J175" i="3"/>
  <c r="K175" i="3"/>
  <c r="O175" i="3"/>
  <c r="L20" i="3"/>
  <c r="O20" i="3"/>
  <c r="K20" i="3"/>
  <c r="G20" i="3"/>
  <c r="H20" i="3"/>
  <c r="F20" i="3"/>
  <c r="J43" i="3"/>
  <c r="P43" i="3" s="1"/>
  <c r="E43" i="3"/>
  <c r="F28" i="3"/>
  <c r="F165" i="3" l="1"/>
  <c r="G165" i="3"/>
  <c r="H165" i="3"/>
  <c r="J165" i="3"/>
  <c r="K165" i="3"/>
  <c r="L165" i="3"/>
  <c r="M165" i="3"/>
  <c r="O165" i="3"/>
  <c r="P165" i="3"/>
  <c r="E165" i="3"/>
  <c r="F179" i="3"/>
  <c r="P179" i="3"/>
  <c r="E179" i="3"/>
  <c r="P180" i="3" l="1"/>
  <c r="F180" i="3"/>
  <c r="E180" i="3"/>
  <c r="F178" i="3"/>
  <c r="E178" i="3"/>
  <c r="P177" i="3"/>
  <c r="E177" i="3"/>
  <c r="O176" i="3"/>
  <c r="N176" i="3"/>
  <c r="M176" i="3"/>
  <c r="L176" i="3"/>
  <c r="K176" i="3"/>
  <c r="O174" i="3"/>
  <c r="K174" i="3"/>
  <c r="I174" i="3"/>
  <c r="F174" i="3"/>
  <c r="F173" i="3"/>
  <c r="O172" i="3"/>
  <c r="K172" i="3"/>
  <c r="F172" i="3"/>
  <c r="F171" i="3"/>
  <c r="O170" i="3"/>
  <c r="K170" i="3"/>
  <c r="I170" i="3"/>
  <c r="F170" i="3"/>
  <c r="H169" i="3"/>
  <c r="G169" i="3"/>
  <c r="F169" i="3"/>
  <c r="O168" i="3"/>
  <c r="M168" i="3"/>
  <c r="L168" i="3"/>
  <c r="H168" i="3"/>
  <c r="G168" i="3"/>
  <c r="F168" i="3"/>
  <c r="O167" i="3"/>
  <c r="H167" i="3"/>
  <c r="G167" i="3"/>
  <c r="F167" i="3"/>
  <c r="O166" i="3"/>
  <c r="K166" i="3"/>
  <c r="J166" i="3"/>
  <c r="F166" i="3"/>
  <c r="O164" i="3"/>
  <c r="L164" i="3"/>
  <c r="K164" i="3"/>
  <c r="H164" i="3"/>
  <c r="G164" i="3"/>
  <c r="F164" i="3"/>
  <c r="P161" i="3"/>
  <c r="E161" i="3"/>
  <c r="P159" i="3"/>
  <c r="F159" i="3"/>
  <c r="E159" i="3"/>
  <c r="P158" i="3"/>
  <c r="E158" i="3"/>
  <c r="P156" i="3"/>
  <c r="E156" i="3"/>
  <c r="E155" i="3"/>
  <c r="P155" i="3" s="1"/>
  <c r="P154" i="3"/>
  <c r="J153" i="3"/>
  <c r="E153" i="3"/>
  <c r="P153" i="3" s="1"/>
  <c r="P152" i="3"/>
  <c r="E152" i="3"/>
  <c r="O150" i="3"/>
  <c r="K150" i="3"/>
  <c r="J150" i="3"/>
  <c r="J164" i="3" s="1"/>
  <c r="F150" i="3"/>
  <c r="F148" i="3" s="1"/>
  <c r="G149" i="3"/>
  <c r="F149" i="3"/>
  <c r="E149" i="3"/>
  <c r="O148" i="3"/>
  <c r="K148" i="3"/>
  <c r="K147" i="3" s="1"/>
  <c r="G148" i="3"/>
  <c r="G147" i="3" s="1"/>
  <c r="F147" i="3"/>
  <c r="E146" i="3"/>
  <c r="P146" i="3" s="1"/>
  <c r="E145" i="3"/>
  <c r="E171" i="3" s="1"/>
  <c r="E144" i="3"/>
  <c r="P144" i="3" s="1"/>
  <c r="E143" i="3"/>
  <c r="P143" i="3" s="1"/>
  <c r="G142" i="3"/>
  <c r="F142" i="3"/>
  <c r="E142" i="3"/>
  <c r="P142" i="3" s="1"/>
  <c r="I141" i="3"/>
  <c r="E141" i="3" s="1"/>
  <c r="P141" i="3" s="1"/>
  <c r="G141" i="3"/>
  <c r="G140" i="3" s="1"/>
  <c r="F141" i="3"/>
  <c r="F140" i="3"/>
  <c r="J139" i="3"/>
  <c r="P139" i="3" s="1"/>
  <c r="J138" i="3"/>
  <c r="J174" i="3" s="1"/>
  <c r="P137" i="3"/>
  <c r="J137" i="3"/>
  <c r="J136" i="3"/>
  <c r="P136" i="3" s="1"/>
  <c r="J135" i="3"/>
  <c r="E135" i="3"/>
  <c r="P135" i="3" s="1"/>
  <c r="J134" i="3"/>
  <c r="P134" i="3" s="1"/>
  <c r="P133" i="3"/>
  <c r="O133" i="3"/>
  <c r="K133" i="3"/>
  <c r="J133" i="3"/>
  <c r="J132" i="3"/>
  <c r="P132" i="3" s="1"/>
  <c r="P131" i="3"/>
  <c r="O131" i="3"/>
  <c r="K131" i="3"/>
  <c r="J131" i="3"/>
  <c r="K130" i="3"/>
  <c r="J130" i="3"/>
  <c r="P130" i="3" s="1"/>
  <c r="J129" i="3"/>
  <c r="P129" i="3" s="1"/>
  <c r="P128" i="3"/>
  <c r="O128" i="3"/>
  <c r="K128" i="3"/>
  <c r="J128" i="3"/>
  <c r="P127" i="3"/>
  <c r="J127" i="3"/>
  <c r="E126" i="3"/>
  <c r="P126" i="3" s="1"/>
  <c r="P125" i="3"/>
  <c r="G125" i="3"/>
  <c r="F125" i="3"/>
  <c r="E125" i="3"/>
  <c r="P124" i="3"/>
  <c r="J124" i="3"/>
  <c r="O123" i="3"/>
  <c r="K123" i="3"/>
  <c r="K122" i="3" s="1"/>
  <c r="J123" i="3"/>
  <c r="G123" i="3"/>
  <c r="G122" i="3" s="1"/>
  <c r="F123" i="3"/>
  <c r="E123" i="3" s="1"/>
  <c r="O122" i="3"/>
  <c r="J122" i="3" s="1"/>
  <c r="F122" i="3"/>
  <c r="E122" i="3" s="1"/>
  <c r="O121" i="3"/>
  <c r="J121" i="3"/>
  <c r="P121" i="3" s="1"/>
  <c r="P120" i="3"/>
  <c r="O120" i="3"/>
  <c r="J120" i="3"/>
  <c r="J119" i="3"/>
  <c r="P119" i="3" s="1"/>
  <c r="E118" i="3"/>
  <c r="E173" i="3" s="1"/>
  <c r="O117" i="3"/>
  <c r="K117" i="3"/>
  <c r="J117" i="3"/>
  <c r="P117" i="3" s="1"/>
  <c r="O116" i="3"/>
  <c r="K116" i="3"/>
  <c r="J116" i="3"/>
  <c r="E116" i="3"/>
  <c r="P116" i="3" s="1"/>
  <c r="E115" i="3"/>
  <c r="O114" i="3"/>
  <c r="K114" i="3"/>
  <c r="J114" i="3"/>
  <c r="E114" i="3"/>
  <c r="O113" i="3"/>
  <c r="K113" i="3"/>
  <c r="J113" i="3"/>
  <c r="P113" i="3" s="1"/>
  <c r="E112" i="3"/>
  <c r="P112" i="3" s="1"/>
  <c r="P111" i="3"/>
  <c r="J111" i="3"/>
  <c r="E110" i="3"/>
  <c r="P110" i="3" s="1"/>
  <c r="E109" i="3"/>
  <c r="P109" i="3" s="1"/>
  <c r="E108" i="3"/>
  <c r="P108" i="3" s="1"/>
  <c r="P107" i="3"/>
  <c r="G107" i="3"/>
  <c r="F107" i="3"/>
  <c r="E107" i="3"/>
  <c r="O106" i="3"/>
  <c r="L106" i="3"/>
  <c r="L105" i="3" s="1"/>
  <c r="K106" i="3"/>
  <c r="K105" i="3" s="1"/>
  <c r="I106" i="3"/>
  <c r="I105" i="3" s="1"/>
  <c r="G106" i="3"/>
  <c r="G105" i="3" s="1"/>
  <c r="F106" i="3"/>
  <c r="F105" i="3" s="1"/>
  <c r="P104" i="3"/>
  <c r="E104" i="3"/>
  <c r="E103" i="3"/>
  <c r="P103" i="3" s="1"/>
  <c r="F102" i="3"/>
  <c r="E102" i="3"/>
  <c r="P101" i="3"/>
  <c r="F101" i="3"/>
  <c r="E101" i="3"/>
  <c r="P100" i="3"/>
  <c r="E100" i="3"/>
  <c r="P99" i="3"/>
  <c r="G99" i="3"/>
  <c r="F99" i="3"/>
  <c r="E99" i="3"/>
  <c r="G98" i="3"/>
  <c r="G97" i="3" s="1"/>
  <c r="F98" i="3"/>
  <c r="E98" i="3"/>
  <c r="P98" i="3" s="1"/>
  <c r="F97" i="3"/>
  <c r="E97" i="3"/>
  <c r="P97" i="3" s="1"/>
  <c r="E96" i="3"/>
  <c r="P96" i="3" s="1"/>
  <c r="E95" i="3"/>
  <c r="P95" i="3" s="1"/>
  <c r="J94" i="3"/>
  <c r="E94" i="3"/>
  <c r="P94" i="3" s="1"/>
  <c r="J93" i="3"/>
  <c r="E93" i="3"/>
  <c r="J92" i="3"/>
  <c r="E92" i="3"/>
  <c r="J91" i="3"/>
  <c r="E91" i="3"/>
  <c r="P91" i="3" s="1"/>
  <c r="E90" i="3"/>
  <c r="P90" i="3" s="1"/>
  <c r="P89" i="3"/>
  <c r="G89" i="3"/>
  <c r="F89" i="3"/>
  <c r="E89" i="3"/>
  <c r="O88" i="3"/>
  <c r="O87" i="3" s="1"/>
  <c r="M88" i="3"/>
  <c r="M87" i="3" s="1"/>
  <c r="L88" i="3"/>
  <c r="H88" i="3"/>
  <c r="H87" i="3" s="1"/>
  <c r="G88" i="3"/>
  <c r="G87" i="3" s="1"/>
  <c r="F88" i="3"/>
  <c r="E88" i="3"/>
  <c r="N185" i="3"/>
  <c r="L87" i="3"/>
  <c r="F87" i="3"/>
  <c r="E87" i="3"/>
  <c r="E86" i="3"/>
  <c r="P86" i="3" s="1"/>
  <c r="E85" i="3"/>
  <c r="P85" i="3" s="1"/>
  <c r="E84" i="3"/>
  <c r="P84" i="3" s="1"/>
  <c r="E83" i="3"/>
  <c r="P83" i="3" s="1"/>
  <c r="P82" i="3"/>
  <c r="E82" i="3"/>
  <c r="E81" i="3"/>
  <c r="P81" i="3" s="1"/>
  <c r="E80" i="3"/>
  <c r="P80" i="3" s="1"/>
  <c r="P79" i="3"/>
  <c r="E79" i="3"/>
  <c r="J78" i="3"/>
  <c r="J167" i="3" s="1"/>
  <c r="E78" i="3"/>
  <c r="P78" i="3" s="1"/>
  <c r="E77" i="3"/>
  <c r="P77" i="3" s="1"/>
  <c r="E76" i="3"/>
  <c r="P76" i="3" s="1"/>
  <c r="E75" i="3"/>
  <c r="P75" i="3" s="1"/>
  <c r="E74" i="3"/>
  <c r="P74" i="3" s="1"/>
  <c r="E73" i="3"/>
  <c r="P73" i="3" s="1"/>
  <c r="P72" i="3"/>
  <c r="G72" i="3"/>
  <c r="F72" i="3"/>
  <c r="E72" i="3"/>
  <c r="O71" i="3"/>
  <c r="O70" i="3" s="1"/>
  <c r="J70" i="3" s="1"/>
  <c r="P70" i="3" s="1"/>
  <c r="H71" i="3"/>
  <c r="H70" i="3" s="1"/>
  <c r="G71" i="3"/>
  <c r="G70" i="3" s="1"/>
  <c r="F71" i="3"/>
  <c r="E71" i="3"/>
  <c r="F70" i="3"/>
  <c r="E70" i="3"/>
  <c r="E69" i="3"/>
  <c r="P69" i="3" s="1"/>
  <c r="E68" i="3"/>
  <c r="P68" i="3" s="1"/>
  <c r="E67" i="3"/>
  <c r="P67" i="3" s="1"/>
  <c r="P66" i="3"/>
  <c r="E66" i="3"/>
  <c r="E65" i="3"/>
  <c r="P65" i="3" s="1"/>
  <c r="F64" i="3"/>
  <c r="E64" i="3"/>
  <c r="P64" i="3" s="1"/>
  <c r="P63" i="3"/>
  <c r="J63" i="3"/>
  <c r="P62" i="3"/>
  <c r="J62" i="3"/>
  <c r="E61" i="3"/>
  <c r="P61" i="3" s="1"/>
  <c r="E60" i="3"/>
  <c r="P60" i="3" s="1"/>
  <c r="E59" i="3"/>
  <c r="P59" i="3" s="1"/>
  <c r="J58" i="3"/>
  <c r="E58" i="3"/>
  <c r="E57" i="3"/>
  <c r="P57" i="3" s="1"/>
  <c r="P56" i="3"/>
  <c r="E56" i="3"/>
  <c r="J55" i="3"/>
  <c r="E55" i="3"/>
  <c r="P54" i="3"/>
  <c r="E54" i="3"/>
  <c r="E53" i="3"/>
  <c r="P53" i="3" s="1"/>
  <c r="E52" i="3"/>
  <c r="P52" i="3" s="1"/>
  <c r="E51" i="3"/>
  <c r="P51" i="3" s="1"/>
  <c r="O50" i="3"/>
  <c r="K50" i="3"/>
  <c r="J50" i="3"/>
  <c r="G50" i="3"/>
  <c r="E50" i="3"/>
  <c r="P50" i="3" s="1"/>
  <c r="J49" i="3"/>
  <c r="G49" i="3"/>
  <c r="E49" i="3"/>
  <c r="E48" i="3"/>
  <c r="P48" i="3" s="1"/>
  <c r="P47" i="3"/>
  <c r="G47" i="3"/>
  <c r="F47" i="3"/>
  <c r="E47" i="3"/>
  <c r="O46" i="3"/>
  <c r="O45" i="3" s="1"/>
  <c r="L46" i="3"/>
  <c r="L45" i="3" s="1"/>
  <c r="K46" i="3"/>
  <c r="K45" i="3" s="1"/>
  <c r="H46" i="3"/>
  <c r="H45" i="3" s="1"/>
  <c r="G46" i="3"/>
  <c r="G45" i="3" s="1"/>
  <c r="F46" i="3"/>
  <c r="E46" i="3"/>
  <c r="F45" i="3"/>
  <c r="E45" i="3"/>
  <c r="L44" i="3"/>
  <c r="J44" i="3"/>
  <c r="P44" i="3" s="1"/>
  <c r="E42" i="3"/>
  <c r="P42" i="3" s="1"/>
  <c r="J41" i="3"/>
  <c r="E41" i="3"/>
  <c r="P41" i="3" s="1"/>
  <c r="E40" i="3"/>
  <c r="E39" i="3"/>
  <c r="P39" i="3" s="1"/>
  <c r="E38" i="3"/>
  <c r="P38" i="3" s="1"/>
  <c r="E37" i="3"/>
  <c r="P37" i="3" s="1"/>
  <c r="E36" i="3"/>
  <c r="P36" i="3" s="1"/>
  <c r="E35" i="3"/>
  <c r="P35" i="3" s="1"/>
  <c r="F34" i="3"/>
  <c r="E34" i="3"/>
  <c r="P34" i="3" s="1"/>
  <c r="F33" i="3"/>
  <c r="E33" i="3"/>
  <c r="P33" i="3" s="1"/>
  <c r="E32" i="3"/>
  <c r="P31" i="3"/>
  <c r="F31" i="3"/>
  <c r="E31" i="3"/>
  <c r="E30" i="3"/>
  <c r="P30" i="3" s="1"/>
  <c r="F29" i="3"/>
  <c r="E29" i="3"/>
  <c r="P29" i="3" s="1"/>
  <c r="E28" i="3"/>
  <c r="P28" i="3" s="1"/>
  <c r="E27" i="3"/>
  <c r="P27" i="3" s="1"/>
  <c r="E26" i="3"/>
  <c r="P26" i="3" s="1"/>
  <c r="J25" i="3"/>
  <c r="P25" i="3" s="1"/>
  <c r="H25" i="3"/>
  <c r="G25" i="3"/>
  <c r="F25" i="3"/>
  <c r="E25" i="3"/>
  <c r="H24" i="3"/>
  <c r="G24" i="3"/>
  <c r="F24" i="3"/>
  <c r="E24" i="3"/>
  <c r="P24" i="3" s="1"/>
  <c r="J23" i="3"/>
  <c r="H23" i="3"/>
  <c r="G23" i="3"/>
  <c r="F23" i="3"/>
  <c r="E23" i="3"/>
  <c r="P23" i="3" s="1"/>
  <c r="J22" i="3"/>
  <c r="P22" i="3" s="1"/>
  <c r="H22" i="3"/>
  <c r="G22" i="3"/>
  <c r="F22" i="3"/>
  <c r="E22" i="3"/>
  <c r="O21" i="3"/>
  <c r="K21" i="3"/>
  <c r="J21" i="3"/>
  <c r="H21" i="3"/>
  <c r="G21" i="3"/>
  <c r="F21" i="3"/>
  <c r="E21" i="3"/>
  <c r="P21" i="3" s="1"/>
  <c r="O19" i="3"/>
  <c r="L19" i="3"/>
  <c r="K19" i="3"/>
  <c r="H19" i="3"/>
  <c r="G19" i="3"/>
  <c r="F19" i="3"/>
  <c r="E175" i="3" l="1"/>
  <c r="E150" i="3"/>
  <c r="E148" i="3" s="1"/>
  <c r="E147" i="3" s="1"/>
  <c r="P147" i="3" s="1"/>
  <c r="E105" i="3"/>
  <c r="J19" i="3"/>
  <c r="E20" i="3"/>
  <c r="J170" i="3"/>
  <c r="E169" i="3"/>
  <c r="P169" i="3" s="1"/>
  <c r="E172" i="3"/>
  <c r="P55" i="3"/>
  <c r="E168" i="3"/>
  <c r="J172" i="3"/>
  <c r="E166" i="3"/>
  <c r="P166" i="3" s="1"/>
  <c r="P49" i="3"/>
  <c r="P92" i="3"/>
  <c r="P114" i="3"/>
  <c r="P178" i="3"/>
  <c r="P150" i="3"/>
  <c r="J148" i="3"/>
  <c r="M162" i="3"/>
  <c r="O147" i="3"/>
  <c r="J147" i="3" s="1"/>
  <c r="P171" i="3"/>
  <c r="P138" i="3"/>
  <c r="P174" i="3" s="1"/>
  <c r="P122" i="3"/>
  <c r="J106" i="3"/>
  <c r="P118" i="3"/>
  <c r="P173" i="3" s="1"/>
  <c r="P172" i="3"/>
  <c r="O105" i="3"/>
  <c r="J105" i="3" s="1"/>
  <c r="P105" i="3" s="1"/>
  <c r="P149" i="3"/>
  <c r="P145" i="3"/>
  <c r="E170" i="3"/>
  <c r="I140" i="3"/>
  <c r="E140" i="3" s="1"/>
  <c r="P140" i="3" s="1"/>
  <c r="I181" i="3"/>
  <c r="P115" i="3"/>
  <c r="P170" i="3" s="1"/>
  <c r="F181" i="3"/>
  <c r="E106" i="3"/>
  <c r="J87" i="3"/>
  <c r="P87" i="3" s="1"/>
  <c r="J168" i="3"/>
  <c r="P93" i="3"/>
  <c r="J88" i="3"/>
  <c r="P88" i="3" s="1"/>
  <c r="J71" i="3"/>
  <c r="P71" i="3" s="1"/>
  <c r="E167" i="3"/>
  <c r="P167" i="3" s="1"/>
  <c r="P102" i="3"/>
  <c r="P58" i="3"/>
  <c r="G162" i="3"/>
  <c r="M181" i="3"/>
  <c r="M185" i="3" s="1"/>
  <c r="O162" i="3"/>
  <c r="J45" i="3"/>
  <c r="P45" i="3" s="1"/>
  <c r="K162" i="3"/>
  <c r="J46" i="3"/>
  <c r="P46" i="3" s="1"/>
  <c r="H162" i="3"/>
  <c r="H181" i="3"/>
  <c r="J176" i="3"/>
  <c r="P176" i="3" s="1"/>
  <c r="J20" i="3"/>
  <c r="E19" i="3"/>
  <c r="P19" i="3" s="1"/>
  <c r="F162" i="3"/>
  <c r="L162" i="3"/>
  <c r="P40" i="3"/>
  <c r="P175" i="3" s="1"/>
  <c r="K181" i="3"/>
  <c r="L181" i="3"/>
  <c r="E174" i="3"/>
  <c r="G181" i="3"/>
  <c r="O181" i="3"/>
  <c r="P32" i="3"/>
  <c r="E164" i="3" l="1"/>
  <c r="E181" i="3" s="1"/>
  <c r="P148" i="3"/>
  <c r="P20" i="3"/>
  <c r="P168" i="3"/>
  <c r="P164" i="3"/>
  <c r="P123" i="3"/>
  <c r="J181" i="3"/>
  <c r="P106" i="3"/>
  <c r="F185" i="3"/>
  <c r="E162" i="3"/>
  <c r="I162" i="3"/>
  <c r="I185" i="3" s="1"/>
  <c r="G185" i="3"/>
  <c r="J162" i="3"/>
  <c r="O185" i="3"/>
  <c r="H185" i="3"/>
  <c r="K185" i="3"/>
  <c r="L185" i="3"/>
  <c r="J185" i="3" l="1"/>
  <c r="P181" i="3"/>
  <c r="E185" i="3"/>
  <c r="P162" i="3"/>
  <c r="P185" i="3" l="1"/>
</calcChain>
</file>

<file path=xl/sharedStrings.xml><?xml version="1.0" encoding="utf-8"?>
<sst xmlns="http://schemas.openxmlformats.org/spreadsheetml/2006/main" count="556" uniqueCount="357">
  <si>
    <t>РОЗПОДІЛ</t>
  </si>
  <si>
    <t>15589000000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</si>
  <si>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</si>
  <si>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</si>
  <si>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</si>
  <si>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</si>
  <si>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</si>
  <si>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</si>
  <si>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</si>
  <si>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</si>
  <si>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</si>
  <si>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</si>
  <si>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</si>
  <si>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</si>
  <si>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</si>
  <si>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</si>
  <si>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</si>
  <si>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0200000</t>
  </si>
  <si>
    <t/>
  </si>
  <si>
    <t>Виконавчий комiтет Чорноморської мiської ради Одеського району Одеської областi</t>
  </si>
  <si>
    <t>0210000</t>
  </si>
  <si>
    <t>0210150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</si>
  <si>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</si>
  <si>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</si>
  <si>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</si>
  <si>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0210170</t>
  </si>
  <si>
    <t>0170</t>
  </si>
  <si>
    <t>0131</t>
  </si>
  <si>
    <t>Підвищення кваліфікації депутатів місцевих рад та посадових осіб місцевого самоврядування</t>
  </si>
  <si>
    <t>0210180</t>
  </si>
  <si>
    <t>0180</t>
  </si>
  <si>
    <t>0133</t>
  </si>
  <si>
    <t>Інша діяльність у сфері державного управління</t>
  </si>
  <si>
    <t>0212010</t>
  </si>
  <si>
    <t>2010</t>
  </si>
  <si>
    <t>0731</t>
  </si>
  <si>
    <t>Багатопрофільна стаціонарна медична допомога населенню</t>
  </si>
  <si>
    <t>0212100</t>
  </si>
  <si>
    <t>2100</t>
  </si>
  <si>
    <t>0722</t>
  </si>
  <si>
    <t>Стоматологічна допомога населенню</t>
  </si>
  <si>
    <t>0212152</t>
  </si>
  <si>
    <t>2152</t>
  </si>
  <si>
    <t>0763</t>
  </si>
  <si>
    <t>Інші програми та заходи у сфері охорони здоров`я</t>
  </si>
  <si>
    <t>0213112</t>
  </si>
  <si>
    <t>3112</t>
  </si>
  <si>
    <t>1040</t>
  </si>
  <si>
    <t>Заходи державної політики з питань дітей та їх соціального захисту</t>
  </si>
  <si>
    <t>0213242</t>
  </si>
  <si>
    <t>3242</t>
  </si>
  <si>
    <t>1090</t>
  </si>
  <si>
    <t>Інші заходи у сфері соціального захисту і соціального забезпечення</t>
  </si>
  <si>
    <t>0216030</t>
  </si>
  <si>
    <t>6030</t>
  </si>
  <si>
    <t>0620</t>
  </si>
  <si>
    <t>Організація благоустрою населених пунктів</t>
  </si>
  <si>
    <t>0217640</t>
  </si>
  <si>
    <t>7640</t>
  </si>
  <si>
    <t>0470</t>
  </si>
  <si>
    <t>Заходи з енергозбереження</t>
  </si>
  <si>
    <t>0217680</t>
  </si>
  <si>
    <t>7680</t>
  </si>
  <si>
    <t>0490</t>
  </si>
  <si>
    <t>Членські внески до асоціацій органів місцевого самоврядування</t>
  </si>
  <si>
    <t>0218210</t>
  </si>
  <si>
    <t>8210</t>
  </si>
  <si>
    <t>0380</t>
  </si>
  <si>
    <t>Муніципальні формування з охорони громадського порядку</t>
  </si>
  <si>
    <t>0218230</t>
  </si>
  <si>
    <t>8230</t>
  </si>
  <si>
    <t>Інші заходи громадського порядку та безпеки</t>
  </si>
  <si>
    <t>0218340</t>
  </si>
  <si>
    <t>8340</t>
  </si>
  <si>
    <t>0540</t>
  </si>
  <si>
    <t>Природоохоронні заходи за рахунок цільових фондів</t>
  </si>
  <si>
    <t>0600000</t>
  </si>
  <si>
    <t>Вiддiл освiти Чорноморської мiської ради Одеського району Одеської областi</t>
  </si>
  <si>
    <t>0610000</t>
  </si>
  <si>
    <t>0610160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</si>
  <si>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</si>
  <si>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</si>
  <si>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0610180</t>
  </si>
  <si>
    <t>0611010</t>
  </si>
  <si>
    <t>1010</t>
  </si>
  <si>
    <t>0910</t>
  </si>
  <si>
    <t>Надання дошкільної освіти</t>
  </si>
  <si>
    <t>0611021</t>
  </si>
  <si>
    <t>1021</t>
  </si>
  <si>
    <t>0921</t>
  </si>
  <si>
    <t>Надання загальної середньої освіти закладами загальної середньої освіти</t>
  </si>
  <si>
    <t>0611022</t>
  </si>
  <si>
    <t>1022</t>
  </si>
  <si>
    <t>0922</t>
  </si>
  <si>
    <t>Надання загальної середньої освіти спеціальними закладами загальної середньої освіти для дітей, які потребують корекції фізичного та/або розумового розвитку</t>
  </si>
  <si>
    <t>0611031</t>
  </si>
  <si>
    <t>1031</t>
  </si>
  <si>
    <t>0611032</t>
  </si>
  <si>
    <t>1032</t>
  </si>
  <si>
    <t>0611070</t>
  </si>
  <si>
    <t>1070</t>
  </si>
  <si>
    <t>0960</t>
  </si>
  <si>
    <t>Надання позашкільної освіти закладами позашкільної освіти, заходи із позашкільної роботи з дітьми</t>
  </si>
  <si>
    <t>0611120</t>
  </si>
  <si>
    <t>1120</t>
  </si>
  <si>
    <t>0950</t>
  </si>
  <si>
    <t>Підвищення кваліфікації, перепідготовка кадрів закладами післядипломної освіти</t>
  </si>
  <si>
    <t>0611130</t>
  </si>
  <si>
    <t>1130</t>
  </si>
  <si>
    <t>0990</t>
  </si>
  <si>
    <t>Методичне забезпечення діяльності закладів освіти</t>
  </si>
  <si>
    <t>0611141</t>
  </si>
  <si>
    <t>1141</t>
  </si>
  <si>
    <t>Забезпечення діяльності інших закладів у сфері освіти</t>
  </si>
  <si>
    <t>0611142</t>
  </si>
  <si>
    <t>1142</t>
  </si>
  <si>
    <t>Інші програми та заходи у сфері освіти</t>
  </si>
  <si>
    <t>0611151</t>
  </si>
  <si>
    <t>1151</t>
  </si>
  <si>
    <t>Забезпечення діяльності інклюзивно-ресурсних центрів за рахунок коштів місцевого бюджету</t>
  </si>
  <si>
    <t>0611152</t>
  </si>
  <si>
    <t>1152</t>
  </si>
  <si>
    <t>Забезпечення діяльності інклюзивно-ресурсних центрів за рахунок освітньої субвенції</t>
  </si>
  <si>
    <t>0613140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</si>
  <si>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</si>
  <si>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</si>
  <si>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0613242</t>
  </si>
  <si>
    <t>0615031</t>
  </si>
  <si>
    <t>5031</t>
  </si>
  <si>
    <t>0810</t>
  </si>
  <si>
    <t>Утримання та навчально-тренувальна робота комунальних дитячо-юнацьких спортивних шкіл</t>
  </si>
  <si>
    <t>0800000</t>
  </si>
  <si>
    <t>Управлiння соцiальної полiтики Чорноморської мiської ради Одеського району Одеської областi</t>
  </si>
  <si>
    <t>0810000</t>
  </si>
  <si>
    <t>0810160</t>
  </si>
  <si>
    <t>0810180</t>
  </si>
  <si>
    <t>0813031</t>
  </si>
  <si>
    <t>3031</t>
  </si>
  <si>
    <t>1030</t>
  </si>
  <si>
    <t>Надання інших пільг окремим категоріям громадян відповідно до законодавства</t>
  </si>
  <si>
    <t>0813032</t>
  </si>
  <si>
    <t>3032</t>
  </si>
  <si>
    <t>Надання пільг окремим категоріям громадян з оплати послуг зв`язку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</si>
  <si>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</si>
  <si>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</si>
  <si>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</si>
  <si>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0813090</t>
  </si>
  <si>
    <t>3090</t>
  </si>
  <si>
    <t>Видатки на поховання учасників бойових дій та осіб з інвалідністю внаслідок війни</t>
  </si>
  <si>
    <t>0813104</t>
  </si>
  <si>
    <t>3104</t>
  </si>
  <si>
    <t>1020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</si>
  <si>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</si>
  <si>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0813121</t>
  </si>
  <si>
    <t>3121</t>
  </si>
  <si>
    <t>Утримання та забезпечення діяльності центрів соціальних служб</t>
  </si>
  <si>
    <t>0813123</t>
  </si>
  <si>
    <t>3123</t>
  </si>
  <si>
    <t>Заходи державної політики з питань сім`ї</t>
  </si>
  <si>
    <t>0813140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</si>
  <si>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</si>
  <si>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</si>
  <si>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</si>
  <si>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0813171</t>
  </si>
  <si>
    <t>3171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</si>
  <si>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</si>
  <si>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0813180</t>
  </si>
  <si>
    <t>3180</t>
  </si>
  <si>
    <t>1060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</si>
  <si>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</si>
  <si>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0813192</t>
  </si>
  <si>
    <t>3192</t>
  </si>
  <si>
    <t>Надання фінансової підтримки громадським об`єднанням ветеранів і осіб з інвалідністю, діяльність яких має соціальну спрямованість</t>
  </si>
  <si>
    <t>0813242</t>
  </si>
  <si>
    <t>1000000</t>
  </si>
  <si>
    <t>Вiддiл культури Чорноморської мiської ради Одеського району Одеської областi</t>
  </si>
  <si>
    <t>1010000</t>
  </si>
  <si>
    <t>1010160</t>
  </si>
  <si>
    <t>1010180</t>
  </si>
  <si>
    <t>1011080</t>
  </si>
  <si>
    <t>1080</t>
  </si>
  <si>
    <t>Надання спеціалізованої освіти мистецькими школами</t>
  </si>
  <si>
    <t>1014030</t>
  </si>
  <si>
    <t>4030</t>
  </si>
  <si>
    <t>0824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</si>
  <si>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</si>
  <si>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</si>
  <si>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</si>
  <si>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</si>
  <si>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</si>
  <si>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</si>
  <si>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</si>
  <si>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</si>
  <si>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1014081</t>
  </si>
  <si>
    <t>4081</t>
  </si>
  <si>
    <t>0829</t>
  </si>
  <si>
    <t>Забезпечення діяльності інших закладів в галузі культури і мистецтва</t>
  </si>
  <si>
    <t>1014082</t>
  </si>
  <si>
    <t>4082</t>
  </si>
  <si>
    <t>Інші заходи в галузі культури і мистецтва</t>
  </si>
  <si>
    <t>1100000</t>
  </si>
  <si>
    <t>1110000</t>
  </si>
  <si>
    <t>1110160</t>
  </si>
  <si>
    <t>1110180</t>
  </si>
  <si>
    <t>1113133</t>
  </si>
  <si>
    <t>3133</t>
  </si>
  <si>
    <t>Інші заходи та заклади молодіжної політики</t>
  </si>
  <si>
    <t>1115011</t>
  </si>
  <si>
    <t>5011</t>
  </si>
  <si>
    <t>Проведення навчально-тренувальних зборів і змагань з олімпійських видів спорту</t>
  </si>
  <si>
    <t>1115012</t>
  </si>
  <si>
    <t>5012</t>
  </si>
  <si>
    <t>Проведення навчально-тренувальних зборів і змагань з неолімпійських видів спорту</t>
  </si>
  <si>
    <t>1115061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</si>
  <si>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</si>
  <si>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</si>
  <si>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1200000</t>
  </si>
  <si>
    <t>Вiддiл комунального господарства та благоустрою Чорноморської мiської ради Одеського району Одеської областi</t>
  </si>
  <si>
    <t>1210000</t>
  </si>
  <si>
    <t>1210160</t>
  </si>
  <si>
    <t>1210170</t>
  </si>
  <si>
    <t>1210180</t>
  </si>
  <si>
    <t>1213210</t>
  </si>
  <si>
    <t>3210</t>
  </si>
  <si>
    <t>1050</t>
  </si>
  <si>
    <t>Організація та проведення громадських робіт</t>
  </si>
  <si>
    <t>1216012</t>
  </si>
  <si>
    <t>6012</t>
  </si>
  <si>
    <t>Забезпечення діяльності з виробництва, транспортування, постачання теплової енергії</t>
  </si>
  <si>
    <t>1216015</t>
  </si>
  <si>
    <t>6015</t>
  </si>
  <si>
    <t>Забезпечення надійної та безперебійної експлуатації ліфтів</t>
  </si>
  <si>
    <t>1216017</t>
  </si>
  <si>
    <t>6017</t>
  </si>
  <si>
    <t>Інша діяльність, пов`язана з експлуатацією об`єктів житлово-комунального господарства</t>
  </si>
  <si>
    <t>1216030</t>
  </si>
  <si>
    <t>1217461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</si>
  <si>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</si>
  <si>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</si>
  <si>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</si>
  <si>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1218340</t>
  </si>
  <si>
    <t>1500000</t>
  </si>
  <si>
    <t>Управлiння капiтального будiвництва Чорноморської мiської ради Одеського району Одеської областi</t>
  </si>
  <si>
    <t>1510000</t>
  </si>
  <si>
    <t>1510160</t>
  </si>
  <si>
    <t>1510180</t>
  </si>
  <si>
    <t>3100000</t>
  </si>
  <si>
    <t>Управлiння комунальної власностi та земельних вiдносин Чорноморської мiської ради Одеського району Одеської областi</t>
  </si>
  <si>
    <t>3110000</t>
  </si>
  <si>
    <t>3110160</t>
  </si>
  <si>
    <t>3110180</t>
  </si>
  <si>
    <t>3116017</t>
  </si>
  <si>
    <t>3117130</t>
  </si>
  <si>
    <t>7130</t>
  </si>
  <si>
    <t>0421</t>
  </si>
  <si>
    <t>Здійснення заходів із землеустрою</t>
  </si>
  <si>
    <t>3117693</t>
  </si>
  <si>
    <t>7693</t>
  </si>
  <si>
    <t>Інші заходи, пов`язані з економічною діяльністю</t>
  </si>
  <si>
    <t>3700000</t>
  </si>
  <si>
    <t>Фiнансове управлiння Чорноморської мiської ради Одеського району Одеської областi</t>
  </si>
  <si>
    <t>3710000</t>
  </si>
  <si>
    <t>3710160</t>
  </si>
  <si>
    <t>3710180</t>
  </si>
  <si>
    <t>3718710</t>
  </si>
  <si>
    <t>8710</t>
  </si>
  <si>
    <t>Резервний фонд місцевого бюджету</t>
  </si>
  <si>
    <t>3719110</t>
  </si>
  <si>
    <t>9110</t>
  </si>
  <si>
    <t>Реверсна дотація</t>
  </si>
  <si>
    <t>УСЬОГО</t>
  </si>
  <si>
    <t>X</t>
  </si>
  <si>
    <t>до рішення Чорноморської міської ради</t>
  </si>
  <si>
    <t>Одеського району Одеської області</t>
  </si>
  <si>
    <t>Ольга Яковенко</t>
  </si>
  <si>
    <t>Олександрівська селищна адміністрація Чорноморської міської ради Одеського району Одеської області</t>
  </si>
  <si>
    <t>Бурлачобалківська сільська адміністрація Чорноморської міської ради Одеського району Одеської області</t>
  </si>
  <si>
    <t>Малодолинська сільська адміністрація Чорноморської міської ради Одеського району Одеської області</t>
  </si>
  <si>
    <t>0100</t>
  </si>
  <si>
    <t>Державне управління</t>
  </si>
  <si>
    <t>1000</t>
  </si>
  <si>
    <t>Освіта</t>
  </si>
  <si>
    <t>2000</t>
  </si>
  <si>
    <t>Охорона здоров'я</t>
  </si>
  <si>
    <t>3000</t>
  </si>
  <si>
    <t>Соціальний захист та соціальне забезпечення</t>
  </si>
  <si>
    <t>4000</t>
  </si>
  <si>
    <t>Культура і мистецтво</t>
  </si>
  <si>
    <t>5000</t>
  </si>
  <si>
    <t>Фізична культура і спорт</t>
  </si>
  <si>
    <t>6000</t>
  </si>
  <si>
    <t>Житлово-комунальне господарство</t>
  </si>
  <si>
    <t>7100</t>
  </si>
  <si>
    <t>Сільське, лісове, рибне господарство та мисливство</t>
  </si>
  <si>
    <t>7300</t>
  </si>
  <si>
    <t>Будівництво та регіональний розвиток</t>
  </si>
  <si>
    <t>7400</t>
  </si>
  <si>
    <t>Транспорт та транспортна інфраструктура, дорожнє господарство</t>
  </si>
  <si>
    <t>7600</t>
  </si>
  <si>
    <t>Інші програми та заходи, пов'язані з економічною діяльністю</t>
  </si>
  <si>
    <t>8200</t>
  </si>
  <si>
    <t>Громадський порядок та безпека</t>
  </si>
  <si>
    <t>8700</t>
  </si>
  <si>
    <t>Резервний фонд  місцевого бюджету</t>
  </si>
  <si>
    <t>9100</t>
  </si>
  <si>
    <t>Дотації з місцевого бюджету іншим бюджетам</t>
  </si>
  <si>
    <t>перевірка</t>
  </si>
  <si>
    <t>Начальник фінансового управління</t>
  </si>
  <si>
    <t>оплата праці і нарахування на заробітну плату</t>
  </si>
  <si>
    <t>в т.ч.</t>
  </si>
  <si>
    <t>нерозподілені видатки</t>
  </si>
  <si>
    <t>оплата послуг (крім комунальних)</t>
  </si>
  <si>
    <t>видатків бюджету Чорноморської міської територіальної громади на 2022 рік</t>
  </si>
  <si>
    <t>від 23.12.2021 № 146 - VIII</t>
  </si>
  <si>
    <t>Заходи та роботи з мобілізаційної підготовки місцевого значення</t>
  </si>
  <si>
    <t>0218220</t>
  </si>
  <si>
    <t>Експлуатація та технічне обслуговування житлового фонду</t>
  </si>
  <si>
    <t>Забезпечення діяльності водопровідно-каналізаційного господарства</t>
  </si>
  <si>
    <t>Реалізація інших заходів щодо соціально-економічного розвитку територій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</si>
  <si>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</t>
  </si>
  <si>
    <t>0443</t>
  </si>
  <si>
    <t>Будівництво 1 об'єктів житлово-комунального господарства</t>
  </si>
  <si>
    <t>Будівництво 1 інших об'єктів комунальної власності</t>
  </si>
  <si>
    <t>Будівництво 1 освітніх установ та закладів</t>
  </si>
  <si>
    <t>Розвиток мережі центрів надання адміністративних послуг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</si>
  <si>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</si>
  <si>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Субвенція з місцевого бюджету державному бюджету на виконання програм соціально-економічного розвитку регіонів</t>
  </si>
  <si>
    <t>9800</t>
  </si>
  <si>
    <t>0611061</t>
  </si>
  <si>
    <t>0611210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</si>
  <si>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</si>
  <si>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</si>
  <si>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Оплата за проведення корекційно-розвиткових занять і придбання спеціальних засобів корекції для учнів інклюзивних класів закладів загальної середньої освіти</t>
  </si>
  <si>
    <t>Оплата за проведення корекційно-розвиткових занять і придбання спеціальних засобів корекції для вихованців інклюзивних груп закладів дошкільної освіти</t>
  </si>
  <si>
    <t>1510150</t>
  </si>
  <si>
    <t>Вiддiл молодi та спорту Чорноморської мiської ради Одеського району Одеської областi</t>
  </si>
  <si>
    <t>Первинна медична допомога населенню, що надається центрами первинної медичної (медико-санітарної) допомоги</t>
  </si>
  <si>
    <t>0212111</t>
  </si>
  <si>
    <t>0726</t>
  </si>
  <si>
    <t>0611171</t>
  </si>
  <si>
    <t>1171</t>
  </si>
  <si>
    <t>Співфінансування заходів, що реалізуються за рахунок субвенції з державного бюджету місцевим бюджетам на реалізацію програми "Спроможна школа для кращих результатів"</t>
  </si>
  <si>
    <t xml:space="preserve">Міська цільова соціальна програма розвитку цивільного захисту Чорноморської міської територіальної громади на 2021-2025 роки </t>
  </si>
  <si>
    <t>в т.ч. за програмами:</t>
  </si>
  <si>
    <t>0611154</t>
  </si>
  <si>
    <t>1154</t>
  </si>
  <si>
    <t>Забезпечення діяльності інклюзивно-ресурсних центрів за рахунок залишку коштів за освітньою субвенцією (крім залишку коштів, що мають цільове призначення, виділених відповідно до рішень Кабінету Міністрів України у попередньому бюджетному періоді)</t>
  </si>
  <si>
    <t>Інші субвенції з місцевого бюджету</t>
  </si>
  <si>
    <t xml:space="preserve">Міська цільова програма
підтримки здобуття професійної (професійно-технічної), фахової передвищої  освіти на умовах регіонального замовлення у відповідних закладах освіти, що розташовані та діють на території Чорноморської міської територіальної громади на 2022 рік       
</t>
  </si>
  <si>
    <t>9700</t>
  </si>
  <si>
    <t>Субвенції з місцевого бюджету іншим місцевим бюджетам на здійснення програм та заходів за рахунок коштів місцевих бюджетів</t>
  </si>
  <si>
    <t>Додаток 2</t>
  </si>
  <si>
    <t>"Додаток 3</t>
  </si>
  <si>
    <t>0218240</t>
  </si>
  <si>
    <t>8240</t>
  </si>
  <si>
    <t>Заходи та роботи з територіальної оборони</t>
  </si>
  <si>
    <t>від      .03.2022 №     - 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</si>
</sst>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_ ;\-#,##0.00\ "/>
    <numFmt numFmtId="165" formatCode="#,##0.000"/>
    <numFmt numFmtId="166" formatCode="#,##0;\-#,##0;#,&quot;-&quot;"/>
  </numFmts>
  <fonts count="12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57">
    <xf numFmtId="0" fontId="0" fillId="0" borderId="0" xfId="0"/>
    <xf numFmtId="49" fontId="6" fillId="2" borderId="1" xfId="0" applyNumberFormat="1" applyFont="1" applyFill="1" applyBorder="1" applyAlignment="1">
      <alignment horizontal="center"/>
    </xf>
    <xf numFmtId="0" fontId="8" fillId="2" borderId="0" xfId="0" applyFont="1" applyFill="1"/>
    <xf numFmtId="165" fontId="8" fillId="2" borderId="1" xfId="1" applyNumberFormat="1" applyFont="1" applyFill="1" applyBorder="1" applyAlignment="1">
      <alignment wrapText="1"/>
    </xf>
    <xf numFmtId="0" fontId="8" fillId="2" borderId="1" xfId="0" applyFont="1" applyFill="1" applyBorder="1" applyAlignment="1">
      <alignment wrapText="1"/>
    </xf>
    <xf numFmtId="0" fontId="9" fillId="2" borderId="0" xfId="0" applyFont="1" applyFill="1"/>
    <xf numFmtId="49" fontId="6" fillId="2" borderId="1" xfId="0" applyNumberFormat="1" applyFont="1" applyFill="1" applyBorder="1" applyAlignment="1"/>
    <xf numFmtId="0" fontId="6" fillId="2" borderId="1" xfId="0" applyFont="1" applyFill="1" applyBorder="1" applyAlignment="1"/>
    <xf numFmtId="0" fontId="2" fillId="2" borderId="0" xfId="0" applyFont="1" applyFill="1"/>
    <xf numFmtId="0" fontId="4" fillId="2" borderId="0" xfId="0" quotePrefix="1" applyFont="1" applyFill="1" applyAlignment="1">
      <alignment horizontal="center"/>
    </xf>
    <xf numFmtId="0" fontId="2" fillId="2" borderId="0" xfId="0" applyFont="1" applyFill="1" applyAlignment="1">
      <alignment horizontal="right"/>
    </xf>
    <xf numFmtId="0" fontId="1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quotePrefix="1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quotePrefix="1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5" fillId="2" borderId="1" xfId="0" quotePrefix="1" applyFont="1" applyFill="1" applyBorder="1" applyAlignment="1">
      <alignment vertical="center" wrapText="1"/>
    </xf>
    <xf numFmtId="0" fontId="5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166" fontId="2" fillId="2" borderId="0" xfId="0" applyNumberFormat="1" applyFont="1" applyFill="1"/>
    <xf numFmtId="0" fontId="3" fillId="2" borderId="1" xfId="0" applyFont="1" applyFill="1" applyBorder="1" applyAlignment="1">
      <alignment wrapText="1"/>
    </xf>
    <xf numFmtId="164" fontId="2" fillId="2" borderId="0" xfId="0" applyNumberFormat="1" applyFont="1" applyFill="1"/>
    <xf numFmtId="0" fontId="2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vertical="center" wrapText="1"/>
    </xf>
    <xf numFmtId="49" fontId="5" fillId="2" borderId="1" xfId="0" applyNumberFormat="1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left" vertical="center"/>
    </xf>
    <xf numFmtId="0" fontId="8" fillId="2" borderId="1" xfId="1" applyFont="1" applyFill="1" applyBorder="1" applyAlignment="1">
      <alignment horizontal="left" wrapText="1"/>
    </xf>
    <xf numFmtId="0" fontId="11" fillId="2" borderId="1" xfId="1" applyFont="1" applyFill="1" applyBorder="1" applyAlignment="1">
      <alignment wrapText="1"/>
    </xf>
    <xf numFmtId="2" fontId="2" fillId="2" borderId="1" xfId="0" applyNumberFormat="1" applyFont="1" applyFill="1" applyBorder="1" applyAlignment="1">
      <alignment vertical="center" wrapText="1"/>
    </xf>
    <xf numFmtId="2" fontId="2" fillId="2" borderId="1" xfId="0" quotePrefix="1" applyNumberFormat="1" applyFont="1" applyFill="1" applyBorder="1" applyAlignment="1">
      <alignment vertical="center" wrapText="1"/>
    </xf>
    <xf numFmtId="2" fontId="2" fillId="2" borderId="0" xfId="0" applyNumberFormat="1" applyFont="1" applyFill="1"/>
    <xf numFmtId="2" fontId="2" fillId="2" borderId="1" xfId="0" applyNumberFormat="1" applyFont="1" applyFill="1" applyBorder="1" applyAlignment="1">
      <alignment horizontal="left" vertical="center" wrapText="1"/>
    </xf>
    <xf numFmtId="1" fontId="2" fillId="2" borderId="1" xfId="0" applyNumberFormat="1" applyFont="1" applyFill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right" vertical="center"/>
    </xf>
    <xf numFmtId="0" fontId="8" fillId="0" borderId="0" xfId="0" applyFont="1"/>
    <xf numFmtId="0" fontId="8" fillId="2" borderId="1" xfId="0" applyFont="1" applyFill="1" applyBorder="1" applyAlignment="1">
      <alignment horizontal="left" vertical="center" wrapText="1"/>
    </xf>
    <xf numFmtId="4" fontId="5" fillId="2" borderId="1" xfId="0" applyNumberFormat="1" applyFont="1" applyFill="1" applyBorder="1" applyAlignment="1">
      <alignment horizontal="right" vertical="center"/>
    </xf>
    <xf numFmtId="4" fontId="3" fillId="2" borderId="1" xfId="0" applyNumberFormat="1" applyFont="1" applyFill="1" applyBorder="1" applyAlignment="1">
      <alignment horizontal="right" vertical="center"/>
    </xf>
    <xf numFmtId="4" fontId="2" fillId="2" borderId="1" xfId="0" applyNumberFormat="1" applyFont="1" applyFill="1" applyBorder="1" applyAlignment="1">
      <alignment horizontal="right"/>
    </xf>
    <xf numFmtId="4" fontId="2" fillId="2" borderId="0" xfId="0" applyNumberFormat="1" applyFont="1" applyFill="1" applyAlignment="1">
      <alignment horizontal="right"/>
    </xf>
    <xf numFmtId="4" fontId="8" fillId="2" borderId="1" xfId="1" applyNumberFormat="1" applyFont="1" applyFill="1" applyBorder="1" applyAlignment="1">
      <alignment horizontal="right"/>
    </xf>
    <xf numFmtId="4" fontId="8" fillId="2" borderId="1" xfId="0" applyNumberFormat="1" applyFont="1" applyFill="1" applyBorder="1" applyAlignment="1">
      <alignment horizontal="right"/>
    </xf>
    <xf numFmtId="4" fontId="3" fillId="2" borderId="1" xfId="0" applyNumberFormat="1" applyFont="1" applyFill="1" applyBorder="1" applyAlignment="1">
      <alignment horizontal="right"/>
    </xf>
    <xf numFmtId="3" fontId="3" fillId="2" borderId="1" xfId="0" applyNumberFormat="1" applyFont="1" applyFill="1" applyBorder="1" applyAlignment="1">
      <alignment horizontal="right" vertical="center"/>
    </xf>
    <xf numFmtId="3" fontId="2" fillId="2" borderId="1" xfId="0" applyNumberFormat="1" applyFont="1" applyFill="1" applyBorder="1" applyAlignment="1">
      <alignment horizontal="right" vertical="center"/>
    </xf>
    <xf numFmtId="3" fontId="5" fillId="2" borderId="1" xfId="0" applyNumberFormat="1" applyFont="1" applyFill="1" applyBorder="1" applyAlignment="1">
      <alignment horizontal="right" vertical="center"/>
    </xf>
    <xf numFmtId="3" fontId="2" fillId="2" borderId="1" xfId="0" applyNumberFormat="1" applyFont="1" applyFill="1" applyBorder="1" applyAlignment="1">
      <alignment horizontal="right"/>
    </xf>
    <xf numFmtId="3" fontId="8" fillId="2" borderId="1" xfId="1" applyNumberFormat="1" applyFont="1" applyFill="1" applyBorder="1" applyAlignment="1">
      <alignment horizontal="right"/>
    </xf>
    <xf numFmtId="3" fontId="8" fillId="2" borderId="1" xfId="0" applyNumberFormat="1" applyFont="1" applyFill="1" applyBorder="1" applyAlignment="1">
      <alignment horizontal="right"/>
    </xf>
    <xf numFmtId="0" fontId="2" fillId="2" borderId="2" xfId="0" quotePrefix="1" applyFont="1" applyFill="1" applyBorder="1" applyAlignment="1">
      <alignment vertical="center" wrapText="1"/>
    </xf>
    <xf numFmtId="0" fontId="3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10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дод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5"/>
  <sheetViews>
    <sheetView tabSelected="1" view="pageBreakPreview" topLeftCell="A31" zoomScale="60" zoomScaleNormal="58" workbookViewId="0">
      <selection activeCell="F42" sqref="F42"/>
    </sheetView>
  </sheetViews>
  <sheetFormatPr defaultColWidth="8.88671875" defaultRowHeight="15.6" x14ac:dyDescent="0.3"/>
  <cols>
    <col min="1" max="3" width="12.109375" style="8" customWidth="1"/>
    <col min="4" max="4" width="40.6640625" style="8" customWidth="1"/>
    <col min="5" max="5" width="15.88671875" style="8" customWidth="1"/>
    <col min="6" max="6" width="18.109375" style="8" customWidth="1"/>
    <col min="7" max="7" width="17" style="8" customWidth="1"/>
    <col min="8" max="8" width="15.6640625" style="8" customWidth="1"/>
    <col min="9" max="9" width="17.44140625" style="8" customWidth="1"/>
    <col min="10" max="11" width="18.6640625" style="8" customWidth="1"/>
    <col min="12" max="12" width="13.33203125" style="8" customWidth="1"/>
    <col min="13" max="13" width="15.6640625" style="8" customWidth="1"/>
    <col min="14" max="14" width="13.5546875" style="8" customWidth="1"/>
    <col min="15" max="15" width="17.44140625" style="8" customWidth="1"/>
    <col min="16" max="16" width="20" style="8" customWidth="1"/>
    <col min="17" max="16384" width="8.88671875" style="8"/>
  </cols>
  <sheetData>
    <row r="1" spans="1:16" x14ac:dyDescent="0.3">
      <c r="M1" s="8" t="s">
        <v>351</v>
      </c>
    </row>
    <row r="2" spans="1:16" x14ac:dyDescent="0.3">
      <c r="M2" s="8" t="s">
        <v>272</v>
      </c>
    </row>
    <row r="3" spans="1:16" x14ac:dyDescent="0.3">
      <c r="M3" s="8" t="s">
        <v>273</v>
      </c>
    </row>
    <row r="4" spans="1:16" x14ac:dyDescent="0.3">
      <c r="M4" s="8" t="s">
        <v>356</v>
      </c>
    </row>
    <row r="6" spans="1:16" x14ac:dyDescent="0.3">
      <c r="M6" s="8" t="s">
        <v>352</v>
      </c>
    </row>
    <row r="7" spans="1:16" x14ac:dyDescent="0.3">
      <c r="M7" s="8" t="s">
        <v>272</v>
      </c>
    </row>
    <row r="8" spans="1:16" x14ac:dyDescent="0.3">
      <c r="M8" s="8" t="s">
        <v>273</v>
      </c>
    </row>
    <row r="9" spans="1:16" x14ac:dyDescent="0.3">
      <c r="M9" s="8" t="s">
        <v>313</v>
      </c>
    </row>
    <row r="10" spans="1:16" x14ac:dyDescent="0.3">
      <c r="A10" s="53" t="s">
        <v>0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</row>
    <row r="11" spans="1:16" x14ac:dyDescent="0.3">
      <c r="A11" s="53" t="s">
        <v>312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</row>
    <row r="12" spans="1:16" x14ac:dyDescent="0.3">
      <c r="A12" s="9" t="s">
        <v>1</v>
      </c>
    </row>
    <row r="13" spans="1:16" x14ac:dyDescent="0.3">
      <c r="A13" s="8" t="s">
        <v>2</v>
      </c>
      <c r="P13" s="10" t="s">
        <v>3</v>
      </c>
    </row>
    <row r="14" spans="1:16" s="11" customFormat="1" ht="13.2" x14ac:dyDescent="0.25">
      <c r="A14" s="55" t="s">
        <v>4</v>
      </c>
      <c r="B14" s="55" t="s">
        <v>5</v>
      </c>
      <c r="C14" s="55" t="s">
        <v>6</v>
      </c>
      <c r="D14" s="55" t="s">
        <v>7</v>
      </c>
      <c r="E14" s="56" t="s">
        <v>8</v>
      </c>
      <c r="F14" s="56"/>
      <c r="G14" s="56"/>
      <c r="H14" s="56"/>
      <c r="I14" s="56"/>
      <c r="J14" s="56" t="s">
        <v>14</v>
      </c>
      <c r="K14" s="56"/>
      <c r="L14" s="56"/>
      <c r="M14" s="56"/>
      <c r="N14" s="56"/>
      <c r="O14" s="56"/>
      <c r="P14" s="56" t="s">
        <v>16</v>
      </c>
    </row>
    <row r="15" spans="1:16" s="11" customFormat="1" ht="13.2" x14ac:dyDescent="0.25">
      <c r="A15" s="55"/>
      <c r="B15" s="55"/>
      <c r="C15" s="55"/>
      <c r="D15" s="55"/>
      <c r="E15" s="56" t="s">
        <v>9</v>
      </c>
      <c r="F15" s="56" t="s">
        <v>10</v>
      </c>
      <c r="G15" s="56" t="s">
        <v>11</v>
      </c>
      <c r="H15" s="56"/>
      <c r="I15" s="56" t="s">
        <v>13</v>
      </c>
      <c r="J15" s="56" t="s">
        <v>9</v>
      </c>
      <c r="K15" s="56" t="s">
        <v>15</v>
      </c>
      <c r="L15" s="56" t="s">
        <v>10</v>
      </c>
      <c r="M15" s="56" t="s">
        <v>11</v>
      </c>
      <c r="N15" s="56"/>
      <c r="O15" s="56" t="s">
        <v>13</v>
      </c>
      <c r="P15" s="56"/>
    </row>
    <row r="16" spans="1:16" s="11" customFormat="1" ht="13.2" x14ac:dyDescent="0.25">
      <c r="A16" s="55"/>
      <c r="B16" s="55"/>
      <c r="C16" s="55"/>
      <c r="D16" s="55"/>
      <c r="E16" s="56"/>
      <c r="F16" s="56"/>
      <c r="G16" s="56" t="s">
        <v>308</v>
      </c>
      <c r="H16" s="56" t="s">
        <v>12</v>
      </c>
      <c r="I16" s="56"/>
      <c r="J16" s="56"/>
      <c r="K16" s="56"/>
      <c r="L16" s="56"/>
      <c r="M16" s="56" t="s">
        <v>308</v>
      </c>
      <c r="N16" s="56" t="s">
        <v>12</v>
      </c>
      <c r="O16" s="56"/>
      <c r="P16" s="56"/>
    </row>
    <row r="17" spans="1:16" s="11" customFormat="1" ht="44.25" customHeight="1" x14ac:dyDescent="0.25">
      <c r="A17" s="55"/>
      <c r="B17" s="55"/>
      <c r="C17" s="55"/>
      <c r="D17" s="55"/>
      <c r="E17" s="56"/>
      <c r="F17" s="56"/>
      <c r="G17" s="56"/>
      <c r="H17" s="56"/>
      <c r="I17" s="56"/>
      <c r="J17" s="56"/>
      <c r="K17" s="56"/>
      <c r="L17" s="56"/>
      <c r="M17" s="56"/>
      <c r="N17" s="56"/>
      <c r="O17" s="56"/>
      <c r="P17" s="56"/>
    </row>
    <row r="18" spans="1:16" x14ac:dyDescent="0.3">
      <c r="A18" s="12">
        <v>1</v>
      </c>
      <c r="B18" s="12">
        <v>2</v>
      </c>
      <c r="C18" s="12">
        <v>3</v>
      </c>
      <c r="D18" s="12">
        <v>4</v>
      </c>
      <c r="E18" s="12">
        <v>5</v>
      </c>
      <c r="F18" s="12">
        <v>6</v>
      </c>
      <c r="G18" s="12">
        <v>7</v>
      </c>
      <c r="H18" s="12">
        <v>8</v>
      </c>
      <c r="I18" s="12">
        <v>9</v>
      </c>
      <c r="J18" s="12">
        <v>10</v>
      </c>
      <c r="K18" s="12">
        <v>11</v>
      </c>
      <c r="L18" s="12">
        <v>12</v>
      </c>
      <c r="M18" s="12">
        <v>13</v>
      </c>
      <c r="N18" s="12">
        <v>14</v>
      </c>
      <c r="O18" s="12">
        <v>15</v>
      </c>
      <c r="P18" s="12">
        <v>16</v>
      </c>
    </row>
    <row r="19" spans="1:16" ht="46.8" x14ac:dyDescent="0.3">
      <c r="A19" s="13" t="s">
        <v>17</v>
      </c>
      <c r="B19" s="13" t="s">
        <v>18</v>
      </c>
      <c r="C19" s="13" t="s">
        <v>18</v>
      </c>
      <c r="D19" s="14" t="s">
        <v>19</v>
      </c>
      <c r="E19" s="46">
        <f>F19+I19</f>
        <v>124780500</v>
      </c>
      <c r="F19" s="46">
        <f>F20</f>
        <v>124780500</v>
      </c>
      <c r="G19" s="46">
        <f>G20</f>
        <v>58815800</v>
      </c>
      <c r="H19" s="46">
        <f>H20</f>
        <v>4718300</v>
      </c>
      <c r="I19" s="46"/>
      <c r="J19" s="40">
        <f>L19+O19</f>
        <v>1478159.48</v>
      </c>
      <c r="K19" s="40">
        <f>K20</f>
        <v>844159.48</v>
      </c>
      <c r="L19" s="46">
        <f>L20</f>
        <v>634000</v>
      </c>
      <c r="M19" s="40"/>
      <c r="N19" s="40"/>
      <c r="O19" s="40">
        <f>O20</f>
        <v>844159.48</v>
      </c>
      <c r="P19" s="40">
        <f>E19+J19</f>
        <v>126258659.48</v>
      </c>
    </row>
    <row r="20" spans="1:16" ht="46.8" x14ac:dyDescent="0.3">
      <c r="A20" s="13" t="s">
        <v>20</v>
      </c>
      <c r="B20" s="13" t="s">
        <v>18</v>
      </c>
      <c r="C20" s="13" t="s">
        <v>18</v>
      </c>
      <c r="D20" s="14" t="s">
        <v>19</v>
      </c>
      <c r="E20" s="46">
        <f>F20+I20</f>
        <v>124780500</v>
      </c>
      <c r="F20" s="46">
        <f>F21+F26+F27+F28+F29+F30+F31+F32+F33+F34+F38+F39+F40+F41+F42+F43+F44</f>
        <v>124780500</v>
      </c>
      <c r="G20" s="46">
        <f t="shared" ref="G20:H20" si="0">G21+G26+G27+G28+G29+G30+G31+G32+G33+G34+G38+G39+G40+G41+G42+G43+G44</f>
        <v>58815800</v>
      </c>
      <c r="H20" s="46">
        <f t="shared" si="0"/>
        <v>4718300</v>
      </c>
      <c r="I20" s="46"/>
      <c r="J20" s="40">
        <f t="shared" ref="J20" si="1">J21+J26+J27+J28+J29+J30+J31+J32+J33+J34+J38+J39+J40+J41+J42+J44</f>
        <v>978159.48</v>
      </c>
      <c r="K20" s="40">
        <f>K21+K26+K27+K28+K29+K30+K31+K32+K33+K34+K38+K39+K40+K41+K42+K43+K44</f>
        <v>844159.48</v>
      </c>
      <c r="L20" s="40">
        <f t="shared" ref="L20:O20" si="2">L21+L26+L27+L28+L29+L30+L31+L32+L33+L34+L38+L39+L40+L41+L42+L43+L44</f>
        <v>634000</v>
      </c>
      <c r="M20" s="40"/>
      <c r="N20" s="40"/>
      <c r="O20" s="40">
        <f t="shared" si="2"/>
        <v>844159.48</v>
      </c>
      <c r="P20" s="40">
        <f>E20+J20</f>
        <v>125758659.48</v>
      </c>
    </row>
    <row r="21" spans="1:16" ht="93.6" x14ac:dyDescent="0.3">
      <c r="A21" s="15" t="s">
        <v>21</v>
      </c>
      <c r="B21" s="15" t="s">
        <v>22</v>
      </c>
      <c r="C21" s="15" t="s">
        <v>23</v>
      </c>
      <c r="D21" s="16" t="s">
        <v>24</v>
      </c>
      <c r="E21" s="47">
        <f>F21+I21</f>
        <v>54354400</v>
      </c>
      <c r="F21" s="47">
        <f>F22+F23+F24+F25</f>
        <v>54354400</v>
      </c>
      <c r="G21" s="47">
        <f>G22+G23+G24+G25</f>
        <v>46427600</v>
      </c>
      <c r="H21" s="47">
        <f>H22+H23+H24+H25</f>
        <v>4483400</v>
      </c>
      <c r="I21" s="47"/>
      <c r="J21" s="36">
        <f>L21+O21</f>
        <v>182659.48</v>
      </c>
      <c r="K21" s="36">
        <f>K22</f>
        <v>44159.48</v>
      </c>
      <c r="L21" s="47">
        <v>138500</v>
      </c>
      <c r="M21" s="36"/>
      <c r="N21" s="36"/>
      <c r="O21" s="36">
        <f>O22</f>
        <v>44159.48</v>
      </c>
      <c r="P21" s="36">
        <f>E21+J21</f>
        <v>54537059.479999997</v>
      </c>
    </row>
    <row r="22" spans="1:16" s="19" customFormat="1" ht="46.8" x14ac:dyDescent="0.3">
      <c r="A22" s="17"/>
      <c r="B22" s="17"/>
      <c r="C22" s="17"/>
      <c r="D22" s="18" t="s">
        <v>19</v>
      </c>
      <c r="E22" s="47">
        <f t="shared" ref="E22:E43" si="3">F22+I22</f>
        <v>48453800</v>
      </c>
      <c r="F22" s="48">
        <f>45699300+2754500</f>
        <v>48453800</v>
      </c>
      <c r="G22" s="48">
        <f>31964500+7032200+2754500</f>
        <v>41751200</v>
      </c>
      <c r="H22" s="48">
        <f>1883100+80200+2206200+28500</f>
        <v>4198000</v>
      </c>
      <c r="I22" s="48"/>
      <c r="J22" s="39">
        <f t="shared" ref="J22:J44" si="4">L22+O22</f>
        <v>182657.48</v>
      </c>
      <c r="K22" s="39">
        <v>44159.48</v>
      </c>
      <c r="L22" s="48">
        <v>138498</v>
      </c>
      <c r="M22" s="39"/>
      <c r="N22" s="39"/>
      <c r="O22" s="39">
        <v>44159.48</v>
      </c>
      <c r="P22" s="39">
        <f t="shared" ref="P22:P44" si="5">E22+J22</f>
        <v>48636457.479999997</v>
      </c>
    </row>
    <row r="23" spans="1:16" s="19" customFormat="1" ht="62.4" x14ac:dyDescent="0.3">
      <c r="A23" s="17"/>
      <c r="B23" s="17"/>
      <c r="C23" s="17"/>
      <c r="D23" s="18" t="s">
        <v>275</v>
      </c>
      <c r="E23" s="47">
        <f t="shared" si="3"/>
        <v>2302500</v>
      </c>
      <c r="F23" s="48">
        <f>2178300+124200</f>
        <v>2302500</v>
      </c>
      <c r="G23" s="48">
        <f>1388400+325000+124200</f>
        <v>1837600</v>
      </c>
      <c r="H23" s="48">
        <f>41800+101700</f>
        <v>143500</v>
      </c>
      <c r="I23" s="48"/>
      <c r="J23" s="47">
        <f t="shared" si="4"/>
        <v>1</v>
      </c>
      <c r="K23" s="48"/>
      <c r="L23" s="48">
        <v>1</v>
      </c>
      <c r="M23" s="48"/>
      <c r="N23" s="48"/>
      <c r="O23" s="48"/>
      <c r="P23" s="47">
        <f t="shared" si="5"/>
        <v>2302501</v>
      </c>
    </row>
    <row r="24" spans="1:16" s="19" customFormat="1" ht="62.4" x14ac:dyDescent="0.3">
      <c r="A24" s="17"/>
      <c r="B24" s="17"/>
      <c r="C24" s="17"/>
      <c r="D24" s="18" t="s">
        <v>276</v>
      </c>
      <c r="E24" s="47">
        <f t="shared" si="3"/>
        <v>1617900</v>
      </c>
      <c r="F24" s="48">
        <f>1526900+91000</f>
        <v>1617900</v>
      </c>
      <c r="G24" s="48">
        <f>969600+224300+91000</f>
        <v>1284900</v>
      </c>
      <c r="H24" s="48">
        <f>5300+15800+28300</f>
        <v>49400</v>
      </c>
      <c r="I24" s="48"/>
      <c r="J24" s="47"/>
      <c r="K24" s="48"/>
      <c r="L24" s="48"/>
      <c r="M24" s="48"/>
      <c r="N24" s="48"/>
      <c r="O24" s="48"/>
      <c r="P24" s="47">
        <f t="shared" si="5"/>
        <v>1617900</v>
      </c>
    </row>
    <row r="25" spans="1:16" s="19" customFormat="1" ht="64.95" customHeight="1" x14ac:dyDescent="0.3">
      <c r="A25" s="17"/>
      <c r="B25" s="17"/>
      <c r="C25" s="17"/>
      <c r="D25" s="18" t="s">
        <v>277</v>
      </c>
      <c r="E25" s="47">
        <f t="shared" si="3"/>
        <v>1980200</v>
      </c>
      <c r="F25" s="48">
        <f>1874300+105900</f>
        <v>1980200</v>
      </c>
      <c r="G25" s="48">
        <f>1175300+272700+105900</f>
        <v>1553900</v>
      </c>
      <c r="H25" s="48">
        <f>36700+55800</f>
        <v>92500</v>
      </c>
      <c r="I25" s="48"/>
      <c r="J25" s="47">
        <f t="shared" si="4"/>
        <v>1</v>
      </c>
      <c r="K25" s="48"/>
      <c r="L25" s="48">
        <v>1</v>
      </c>
      <c r="M25" s="48"/>
      <c r="N25" s="48"/>
      <c r="O25" s="48"/>
      <c r="P25" s="47">
        <f t="shared" si="5"/>
        <v>1980201</v>
      </c>
    </row>
    <row r="26" spans="1:16" ht="46.8" x14ac:dyDescent="0.3">
      <c r="A26" s="15" t="s">
        <v>25</v>
      </c>
      <c r="B26" s="15" t="s">
        <v>26</v>
      </c>
      <c r="C26" s="15" t="s">
        <v>27</v>
      </c>
      <c r="D26" s="16" t="s">
        <v>28</v>
      </c>
      <c r="E26" s="47">
        <f t="shared" si="3"/>
        <v>50000</v>
      </c>
      <c r="F26" s="47">
        <v>50000</v>
      </c>
      <c r="G26" s="47"/>
      <c r="H26" s="47"/>
      <c r="I26" s="47"/>
      <c r="J26" s="36"/>
      <c r="K26" s="36"/>
      <c r="L26" s="36"/>
      <c r="M26" s="36"/>
      <c r="N26" s="36"/>
      <c r="O26" s="36"/>
      <c r="P26" s="47">
        <f t="shared" si="5"/>
        <v>50000</v>
      </c>
    </row>
    <row r="27" spans="1:16" ht="31.2" x14ac:dyDescent="0.3">
      <c r="A27" s="15" t="s">
        <v>29</v>
      </c>
      <c r="B27" s="15" t="s">
        <v>30</v>
      </c>
      <c r="C27" s="15" t="s">
        <v>31</v>
      </c>
      <c r="D27" s="16" t="s">
        <v>32</v>
      </c>
      <c r="E27" s="47">
        <f t="shared" si="3"/>
        <v>1825300</v>
      </c>
      <c r="F27" s="47">
        <v>1825300</v>
      </c>
      <c r="G27" s="47"/>
      <c r="H27" s="47"/>
      <c r="I27" s="47"/>
      <c r="J27" s="36"/>
      <c r="K27" s="36"/>
      <c r="L27" s="36"/>
      <c r="M27" s="36"/>
      <c r="N27" s="36"/>
      <c r="O27" s="36"/>
      <c r="P27" s="47">
        <f t="shared" si="5"/>
        <v>1825300</v>
      </c>
    </row>
    <row r="28" spans="1:16" ht="31.2" x14ac:dyDescent="0.3">
      <c r="A28" s="15" t="s">
        <v>33</v>
      </c>
      <c r="B28" s="15" t="s">
        <v>34</v>
      </c>
      <c r="C28" s="15" t="s">
        <v>35</v>
      </c>
      <c r="D28" s="16" t="s">
        <v>36</v>
      </c>
      <c r="E28" s="47">
        <f t="shared" si="3"/>
        <v>25061900</v>
      </c>
      <c r="F28" s="47">
        <f>26414000-1852100+500000</f>
        <v>25061900</v>
      </c>
      <c r="G28" s="47"/>
      <c r="H28" s="47"/>
      <c r="I28" s="47"/>
      <c r="J28" s="36"/>
      <c r="K28" s="36"/>
      <c r="L28" s="36"/>
      <c r="M28" s="36"/>
      <c r="N28" s="36"/>
      <c r="O28" s="36"/>
      <c r="P28" s="47">
        <f t="shared" si="5"/>
        <v>25061900</v>
      </c>
    </row>
    <row r="29" spans="1:16" x14ac:dyDescent="0.3">
      <c r="A29" s="15" t="s">
        <v>37</v>
      </c>
      <c r="B29" s="15" t="s">
        <v>38</v>
      </c>
      <c r="C29" s="15" t="s">
        <v>39</v>
      </c>
      <c r="D29" s="16" t="s">
        <v>40</v>
      </c>
      <c r="E29" s="47">
        <f t="shared" si="3"/>
        <v>6488500</v>
      </c>
      <c r="F29" s="47">
        <f>7120500-632000</f>
        <v>6488500</v>
      </c>
      <c r="G29" s="47"/>
      <c r="H29" s="47"/>
      <c r="I29" s="47"/>
      <c r="J29" s="36"/>
      <c r="K29" s="36"/>
      <c r="L29" s="36"/>
      <c r="M29" s="36"/>
      <c r="N29" s="36"/>
      <c r="O29" s="36"/>
      <c r="P29" s="47">
        <f t="shared" si="5"/>
        <v>6488500</v>
      </c>
    </row>
    <row r="30" spans="1:16" ht="62.4" x14ac:dyDescent="0.3">
      <c r="A30" s="15" t="s">
        <v>337</v>
      </c>
      <c r="B30" s="24">
        <v>2111</v>
      </c>
      <c r="C30" s="15" t="s">
        <v>338</v>
      </c>
      <c r="D30" s="16" t="s">
        <v>336</v>
      </c>
      <c r="E30" s="47">
        <f t="shared" si="3"/>
        <v>319700</v>
      </c>
      <c r="F30" s="47">
        <v>319700</v>
      </c>
      <c r="G30" s="47"/>
      <c r="H30" s="47"/>
      <c r="I30" s="47"/>
      <c r="J30" s="36"/>
      <c r="K30" s="36"/>
      <c r="L30" s="36"/>
      <c r="M30" s="36"/>
      <c r="N30" s="36"/>
      <c r="O30" s="36"/>
      <c r="P30" s="47">
        <f t="shared" si="5"/>
        <v>319700</v>
      </c>
    </row>
    <row r="31" spans="1:16" ht="31.2" x14ac:dyDescent="0.3">
      <c r="A31" s="15" t="s">
        <v>41</v>
      </c>
      <c r="B31" s="15" t="s">
        <v>42</v>
      </c>
      <c r="C31" s="15" t="s">
        <v>43</v>
      </c>
      <c r="D31" s="16" t="s">
        <v>44</v>
      </c>
      <c r="E31" s="47">
        <f t="shared" si="3"/>
        <v>7399600</v>
      </c>
      <c r="F31" s="47">
        <f>3500000+1415500+632000+1852100</f>
        <v>7399600</v>
      </c>
      <c r="G31" s="47"/>
      <c r="H31" s="47"/>
      <c r="I31" s="47"/>
      <c r="J31" s="36"/>
      <c r="K31" s="36"/>
      <c r="L31" s="36"/>
      <c r="M31" s="36"/>
      <c r="N31" s="36"/>
      <c r="O31" s="36"/>
      <c r="P31" s="47">
        <f t="shared" si="5"/>
        <v>7399600</v>
      </c>
    </row>
    <row r="32" spans="1:16" ht="31.2" x14ac:dyDescent="0.3">
      <c r="A32" s="15" t="s">
        <v>45</v>
      </c>
      <c r="B32" s="15" t="s">
        <v>46</v>
      </c>
      <c r="C32" s="15" t="s">
        <v>47</v>
      </c>
      <c r="D32" s="16" t="s">
        <v>48</v>
      </c>
      <c r="E32" s="47">
        <f t="shared" si="3"/>
        <v>96000</v>
      </c>
      <c r="F32" s="47">
        <v>96000</v>
      </c>
      <c r="G32" s="47"/>
      <c r="H32" s="47"/>
      <c r="I32" s="47"/>
      <c r="J32" s="36"/>
      <c r="K32" s="36"/>
      <c r="L32" s="36"/>
      <c r="M32" s="36"/>
      <c r="N32" s="36"/>
      <c r="O32" s="36"/>
      <c r="P32" s="47">
        <f t="shared" si="5"/>
        <v>96000</v>
      </c>
    </row>
    <row r="33" spans="1:16" ht="31.2" x14ac:dyDescent="0.3">
      <c r="A33" s="15" t="s">
        <v>49</v>
      </c>
      <c r="B33" s="15" t="s">
        <v>50</v>
      </c>
      <c r="C33" s="15" t="s">
        <v>51</v>
      </c>
      <c r="D33" s="16" t="s">
        <v>52</v>
      </c>
      <c r="E33" s="47">
        <f t="shared" si="3"/>
        <v>4275100</v>
      </c>
      <c r="F33" s="47">
        <f>3775100+500000</f>
        <v>4275100</v>
      </c>
      <c r="G33" s="47"/>
      <c r="H33" s="47"/>
      <c r="I33" s="47"/>
      <c r="J33" s="36"/>
      <c r="K33" s="36"/>
      <c r="L33" s="36"/>
      <c r="M33" s="36"/>
      <c r="N33" s="36"/>
      <c r="O33" s="36"/>
      <c r="P33" s="47">
        <f t="shared" si="5"/>
        <v>4275100</v>
      </c>
    </row>
    <row r="34" spans="1:16" ht="31.2" x14ac:dyDescent="0.3">
      <c r="A34" s="15" t="s">
        <v>53</v>
      </c>
      <c r="B34" s="15" t="s">
        <v>54</v>
      </c>
      <c r="C34" s="15" t="s">
        <v>55</v>
      </c>
      <c r="D34" s="16" t="s">
        <v>56</v>
      </c>
      <c r="E34" s="47">
        <f t="shared" si="3"/>
        <v>6245900</v>
      </c>
      <c r="F34" s="47">
        <f>F35+F36+F37</f>
        <v>6245900</v>
      </c>
      <c r="G34" s="47"/>
      <c r="H34" s="47"/>
      <c r="I34" s="47"/>
      <c r="J34" s="36"/>
      <c r="K34" s="36"/>
      <c r="L34" s="36"/>
      <c r="M34" s="36"/>
      <c r="N34" s="36"/>
      <c r="O34" s="36"/>
      <c r="P34" s="47">
        <f t="shared" si="5"/>
        <v>6245900</v>
      </c>
    </row>
    <row r="35" spans="1:16" s="19" customFormat="1" ht="51.6" customHeight="1" x14ac:dyDescent="0.3">
      <c r="A35" s="17"/>
      <c r="B35" s="17"/>
      <c r="C35" s="17"/>
      <c r="D35" s="18" t="s">
        <v>275</v>
      </c>
      <c r="E35" s="47">
        <f t="shared" si="3"/>
        <v>3350000</v>
      </c>
      <c r="F35" s="48">
        <v>3350000</v>
      </c>
      <c r="G35" s="48"/>
      <c r="H35" s="47"/>
      <c r="I35" s="48"/>
      <c r="J35" s="36"/>
      <c r="K35" s="39"/>
      <c r="L35" s="39"/>
      <c r="M35" s="39"/>
      <c r="N35" s="39"/>
      <c r="O35" s="39"/>
      <c r="P35" s="47">
        <f t="shared" si="5"/>
        <v>3350000</v>
      </c>
    </row>
    <row r="36" spans="1:16" s="19" customFormat="1" ht="62.4" x14ac:dyDescent="0.3">
      <c r="A36" s="17"/>
      <c r="B36" s="17"/>
      <c r="C36" s="17"/>
      <c r="D36" s="18" t="s">
        <v>276</v>
      </c>
      <c r="E36" s="47">
        <f t="shared" si="3"/>
        <v>1195900</v>
      </c>
      <c r="F36" s="48">
        <v>1195900</v>
      </c>
      <c r="G36" s="48"/>
      <c r="H36" s="47"/>
      <c r="I36" s="48"/>
      <c r="J36" s="36"/>
      <c r="K36" s="39"/>
      <c r="L36" s="39"/>
      <c r="M36" s="39"/>
      <c r="N36" s="39"/>
      <c r="O36" s="39"/>
      <c r="P36" s="47">
        <f t="shared" si="5"/>
        <v>1195900</v>
      </c>
    </row>
    <row r="37" spans="1:16" s="19" customFormat="1" ht="46.8" x14ac:dyDescent="0.3">
      <c r="A37" s="17"/>
      <c r="B37" s="17"/>
      <c r="C37" s="17"/>
      <c r="D37" s="18" t="s">
        <v>277</v>
      </c>
      <c r="E37" s="47">
        <f t="shared" si="3"/>
        <v>1700000</v>
      </c>
      <c r="F37" s="48">
        <v>1700000</v>
      </c>
      <c r="G37" s="48"/>
      <c r="H37" s="47"/>
      <c r="I37" s="48"/>
      <c r="J37" s="36"/>
      <c r="K37" s="39"/>
      <c r="L37" s="39"/>
      <c r="M37" s="39"/>
      <c r="N37" s="39"/>
      <c r="O37" s="39"/>
      <c r="P37" s="47">
        <f t="shared" si="5"/>
        <v>1700000</v>
      </c>
    </row>
    <row r="38" spans="1:16" ht="21.6" customHeight="1" x14ac:dyDescent="0.3">
      <c r="A38" s="15" t="s">
        <v>57</v>
      </c>
      <c r="B38" s="15" t="s">
        <v>58</v>
      </c>
      <c r="C38" s="15" t="s">
        <v>59</v>
      </c>
      <c r="D38" s="16" t="s">
        <v>60</v>
      </c>
      <c r="E38" s="47">
        <f t="shared" si="3"/>
        <v>100000</v>
      </c>
      <c r="F38" s="47">
        <v>100000</v>
      </c>
      <c r="G38" s="47"/>
      <c r="H38" s="47"/>
      <c r="I38" s="47"/>
      <c r="J38" s="36"/>
      <c r="K38" s="36"/>
      <c r="L38" s="36"/>
      <c r="M38" s="36"/>
      <c r="N38" s="36"/>
      <c r="O38" s="36"/>
      <c r="P38" s="36">
        <f t="shared" si="5"/>
        <v>100000</v>
      </c>
    </row>
    <row r="39" spans="1:16" ht="31.2" x14ac:dyDescent="0.3">
      <c r="A39" s="15" t="s">
        <v>61</v>
      </c>
      <c r="B39" s="15" t="s">
        <v>62</v>
      </c>
      <c r="C39" s="15" t="s">
        <v>63</v>
      </c>
      <c r="D39" s="16" t="s">
        <v>64</v>
      </c>
      <c r="E39" s="47">
        <f t="shared" si="3"/>
        <v>71400</v>
      </c>
      <c r="F39" s="47">
        <v>71400</v>
      </c>
      <c r="G39" s="47"/>
      <c r="H39" s="47"/>
      <c r="I39" s="47"/>
      <c r="J39" s="36"/>
      <c r="K39" s="36"/>
      <c r="L39" s="36"/>
      <c r="M39" s="36"/>
      <c r="N39" s="36"/>
      <c r="O39" s="36"/>
      <c r="P39" s="36">
        <f t="shared" si="5"/>
        <v>71400</v>
      </c>
    </row>
    <row r="40" spans="1:16" ht="31.2" x14ac:dyDescent="0.3">
      <c r="A40" s="15" t="s">
        <v>65</v>
      </c>
      <c r="B40" s="15" t="s">
        <v>66</v>
      </c>
      <c r="C40" s="15" t="s">
        <v>67</v>
      </c>
      <c r="D40" s="16" t="s">
        <v>68</v>
      </c>
      <c r="E40" s="47">
        <f t="shared" si="3"/>
        <v>13808900</v>
      </c>
      <c r="F40" s="47">
        <f>13508500+300400</f>
        <v>13808900</v>
      </c>
      <c r="G40" s="47">
        <f>12388200</f>
        <v>12388200</v>
      </c>
      <c r="H40" s="47">
        <v>234900</v>
      </c>
      <c r="I40" s="47"/>
      <c r="J40" s="47"/>
      <c r="K40" s="47"/>
      <c r="L40" s="47"/>
      <c r="M40" s="47"/>
      <c r="N40" s="47"/>
      <c r="O40" s="47"/>
      <c r="P40" s="47">
        <f t="shared" si="5"/>
        <v>13808900</v>
      </c>
    </row>
    <row r="41" spans="1:16" ht="31.2" x14ac:dyDescent="0.3">
      <c r="A41" s="15" t="s">
        <v>315</v>
      </c>
      <c r="B41" s="24">
        <v>8220</v>
      </c>
      <c r="C41" s="15" t="s">
        <v>67</v>
      </c>
      <c r="D41" s="16" t="s">
        <v>314</v>
      </c>
      <c r="E41" s="47">
        <f t="shared" si="3"/>
        <v>185000</v>
      </c>
      <c r="F41" s="47">
        <v>185000</v>
      </c>
      <c r="G41" s="47"/>
      <c r="H41" s="47"/>
      <c r="I41" s="47"/>
      <c r="J41" s="47">
        <f t="shared" si="4"/>
        <v>300000</v>
      </c>
      <c r="K41" s="47">
        <v>300000</v>
      </c>
      <c r="L41" s="47"/>
      <c r="M41" s="47"/>
      <c r="N41" s="47"/>
      <c r="O41" s="47">
        <v>300000</v>
      </c>
      <c r="P41" s="47">
        <f t="shared" si="5"/>
        <v>485000</v>
      </c>
    </row>
    <row r="42" spans="1:16" ht="31.2" x14ac:dyDescent="0.3">
      <c r="A42" s="15" t="s">
        <v>69</v>
      </c>
      <c r="B42" s="15" t="s">
        <v>70</v>
      </c>
      <c r="C42" s="15" t="s">
        <v>67</v>
      </c>
      <c r="D42" s="16" t="s">
        <v>71</v>
      </c>
      <c r="E42" s="47">
        <f t="shared" si="3"/>
        <v>3549800</v>
      </c>
      <c r="F42" s="47">
        <f>1449800+2100000</f>
        <v>3549800</v>
      </c>
      <c r="G42" s="47"/>
      <c r="H42" s="47"/>
      <c r="I42" s="47"/>
      <c r="J42" s="47"/>
      <c r="K42" s="47"/>
      <c r="L42" s="47"/>
      <c r="M42" s="47"/>
      <c r="N42" s="47"/>
      <c r="O42" s="47"/>
      <c r="P42" s="47">
        <f t="shared" si="5"/>
        <v>3549800</v>
      </c>
    </row>
    <row r="43" spans="1:16" ht="31.2" x14ac:dyDescent="0.3">
      <c r="A43" s="26" t="s">
        <v>353</v>
      </c>
      <c r="B43" s="26" t="s">
        <v>354</v>
      </c>
      <c r="C43" s="26" t="s">
        <v>67</v>
      </c>
      <c r="D43" s="52" t="s">
        <v>355</v>
      </c>
      <c r="E43" s="47">
        <f t="shared" si="3"/>
        <v>949000</v>
      </c>
      <c r="F43" s="47">
        <v>949000</v>
      </c>
      <c r="G43" s="47"/>
      <c r="H43" s="47"/>
      <c r="I43" s="47"/>
      <c r="J43" s="47">
        <f t="shared" si="4"/>
        <v>500000</v>
      </c>
      <c r="K43" s="47">
        <v>500000</v>
      </c>
      <c r="L43" s="47"/>
      <c r="M43" s="47"/>
      <c r="N43" s="47"/>
      <c r="O43" s="47">
        <v>500000</v>
      </c>
      <c r="P43" s="47">
        <f t="shared" si="5"/>
        <v>1449000</v>
      </c>
    </row>
    <row r="44" spans="1:16" ht="31.2" x14ac:dyDescent="0.3">
      <c r="A44" s="15" t="s">
        <v>72</v>
      </c>
      <c r="B44" s="15" t="s">
        <v>73</v>
      </c>
      <c r="C44" s="15" t="s">
        <v>74</v>
      </c>
      <c r="D44" s="16" t="s">
        <v>75</v>
      </c>
      <c r="E44" s="47"/>
      <c r="F44" s="47"/>
      <c r="G44" s="47"/>
      <c r="H44" s="47"/>
      <c r="I44" s="47"/>
      <c r="J44" s="47">
        <f t="shared" si="4"/>
        <v>495500</v>
      </c>
      <c r="K44" s="47"/>
      <c r="L44" s="47">
        <f>350000+145500</f>
        <v>495500</v>
      </c>
      <c r="M44" s="47"/>
      <c r="N44" s="47"/>
      <c r="O44" s="47"/>
      <c r="P44" s="47">
        <f t="shared" si="5"/>
        <v>495500</v>
      </c>
    </row>
    <row r="45" spans="1:16" ht="46.8" x14ac:dyDescent="0.3">
      <c r="A45" s="13" t="s">
        <v>76</v>
      </c>
      <c r="B45" s="13" t="s">
        <v>18</v>
      </c>
      <c r="C45" s="13" t="s">
        <v>18</v>
      </c>
      <c r="D45" s="14" t="s">
        <v>77</v>
      </c>
      <c r="E45" s="40">
        <f>F45+I45</f>
        <v>454907622.87</v>
      </c>
      <c r="F45" s="40">
        <f>F46</f>
        <v>454907622.87</v>
      </c>
      <c r="G45" s="40">
        <f>G46</f>
        <v>366526422.87</v>
      </c>
      <c r="H45" s="46">
        <f>H46</f>
        <v>47038960</v>
      </c>
      <c r="I45" s="40"/>
      <c r="J45" s="40">
        <f>L45+O45</f>
        <v>10173840.379999999</v>
      </c>
      <c r="K45" s="40">
        <f>K46</f>
        <v>2703840.38</v>
      </c>
      <c r="L45" s="46">
        <f>L46</f>
        <v>7410000</v>
      </c>
      <c r="M45" s="40"/>
      <c r="N45" s="40"/>
      <c r="O45" s="40">
        <f>O46</f>
        <v>2763840.38</v>
      </c>
      <c r="P45" s="40">
        <f>E45+J45</f>
        <v>465081463.25</v>
      </c>
    </row>
    <row r="46" spans="1:16" ht="46.8" x14ac:dyDescent="0.3">
      <c r="A46" s="13" t="s">
        <v>78</v>
      </c>
      <c r="B46" s="13" t="s">
        <v>18</v>
      </c>
      <c r="C46" s="13" t="s">
        <v>18</v>
      </c>
      <c r="D46" s="14" t="s">
        <v>77</v>
      </c>
      <c r="E46" s="40">
        <f>F46+I46</f>
        <v>454907622.87</v>
      </c>
      <c r="F46" s="40">
        <f>F47+F48+F49+F50+F51+F52+F53+F54+F55+F56+F57+F58+F59+F60+F61+F64+F67+F68+F69</f>
        <v>454907622.87</v>
      </c>
      <c r="G46" s="40">
        <f>G47+G48+G49+G50+G51+G52+G53+G54+G55+G56+G57+G58+G59+G60+G61+G64+G67+G68+G69</f>
        <v>366526422.87</v>
      </c>
      <c r="H46" s="46">
        <f>H47+H48+H49+H50+H51+H52+H53+H54+H55+H56+H57+H58+H59+H60+H61+H64+H67+H68+H69</f>
        <v>47038960</v>
      </c>
      <c r="I46" s="40"/>
      <c r="J46" s="40">
        <f>L46+O46</f>
        <v>10173840.379999999</v>
      </c>
      <c r="K46" s="40">
        <f>K47+K48+K49+K50+K51+K52+K53+K55+K56+K57+K58+K59+K60+K61+K62+K63+K67+K68+K69</f>
        <v>2703840.38</v>
      </c>
      <c r="L46" s="46">
        <f>L47+L48+L49+L50+L51+L52+L53+L55+L56+L57+L58+L59+L60+L61+L62+L63+L67+L68+L69</f>
        <v>7410000</v>
      </c>
      <c r="M46" s="40"/>
      <c r="N46" s="40"/>
      <c r="O46" s="40">
        <f>O47+O48+O49+O50+O51+O52+O53+O55+O56+O57+O58+O59+O60+O61+O62+O63+O67+O68+O69</f>
        <v>2763840.38</v>
      </c>
      <c r="P46" s="40">
        <f>E46+J46</f>
        <v>465081463.25</v>
      </c>
    </row>
    <row r="47" spans="1:16" ht="64.2" customHeight="1" x14ac:dyDescent="0.3">
      <c r="A47" s="15" t="s">
        <v>79</v>
      </c>
      <c r="B47" s="15" t="s">
        <v>80</v>
      </c>
      <c r="C47" s="15" t="s">
        <v>23</v>
      </c>
      <c r="D47" s="16" t="s">
        <v>81</v>
      </c>
      <c r="E47" s="47">
        <f>F47+I47</f>
        <v>3426800</v>
      </c>
      <c r="F47" s="47">
        <f>3228100+198700</f>
        <v>3426800</v>
      </c>
      <c r="G47" s="47">
        <f>2255200+496200+198700</f>
        <v>2950100</v>
      </c>
      <c r="H47" s="47">
        <v>425300</v>
      </c>
      <c r="I47" s="47"/>
      <c r="J47" s="47"/>
      <c r="K47" s="47"/>
      <c r="L47" s="47"/>
      <c r="M47" s="47"/>
      <c r="N47" s="47"/>
      <c r="O47" s="47"/>
      <c r="P47" s="47">
        <f>E47+J47</f>
        <v>3426800</v>
      </c>
    </row>
    <row r="48" spans="1:16" ht="31.2" x14ac:dyDescent="0.3">
      <c r="A48" s="15" t="s">
        <v>82</v>
      </c>
      <c r="B48" s="15" t="s">
        <v>30</v>
      </c>
      <c r="C48" s="15" t="s">
        <v>31</v>
      </c>
      <c r="D48" s="16" t="s">
        <v>32</v>
      </c>
      <c r="E48" s="47">
        <f t="shared" ref="E48:E69" si="6">F48+I48</f>
        <v>319000</v>
      </c>
      <c r="F48" s="47">
        <v>319000</v>
      </c>
      <c r="G48" s="47"/>
      <c r="H48" s="47"/>
      <c r="I48" s="47"/>
      <c r="J48" s="47"/>
      <c r="K48" s="47"/>
      <c r="L48" s="47"/>
      <c r="M48" s="47"/>
      <c r="N48" s="47"/>
      <c r="O48" s="47"/>
      <c r="P48" s="47">
        <f t="shared" ref="P48:P69" si="7">E48+J48</f>
        <v>319000</v>
      </c>
    </row>
    <row r="49" spans="1:16" x14ac:dyDescent="0.3">
      <c r="A49" s="15" t="s">
        <v>83</v>
      </c>
      <c r="B49" s="15" t="s">
        <v>84</v>
      </c>
      <c r="C49" s="15" t="s">
        <v>85</v>
      </c>
      <c r="D49" s="16" t="s">
        <v>86</v>
      </c>
      <c r="E49" s="47">
        <f t="shared" si="6"/>
        <v>143998300</v>
      </c>
      <c r="F49" s="47">
        <v>143998300</v>
      </c>
      <c r="G49" s="47">
        <f>91100000+20050000</f>
        <v>111150000</v>
      </c>
      <c r="H49" s="47">
        <v>21712200</v>
      </c>
      <c r="I49" s="47"/>
      <c r="J49" s="47">
        <f t="shared" ref="J49:J58" si="8">L49+O49</f>
        <v>7180000</v>
      </c>
      <c r="K49" s="36"/>
      <c r="L49" s="47">
        <v>7180000</v>
      </c>
      <c r="M49" s="47"/>
      <c r="N49" s="47"/>
      <c r="O49" s="47"/>
      <c r="P49" s="47">
        <f t="shared" si="7"/>
        <v>151178300</v>
      </c>
    </row>
    <row r="50" spans="1:16" ht="35.25" customHeight="1" x14ac:dyDescent="0.3">
      <c r="A50" s="15" t="s">
        <v>87</v>
      </c>
      <c r="B50" s="15" t="s">
        <v>88</v>
      </c>
      <c r="C50" s="15" t="s">
        <v>89</v>
      </c>
      <c r="D50" s="16" t="s">
        <v>90</v>
      </c>
      <c r="E50" s="47">
        <f t="shared" si="6"/>
        <v>85621600</v>
      </c>
      <c r="F50" s="47">
        <v>85621600</v>
      </c>
      <c r="G50" s="47">
        <f>36600000+8100000</f>
        <v>44700000</v>
      </c>
      <c r="H50" s="47">
        <v>20991100</v>
      </c>
      <c r="I50" s="47"/>
      <c r="J50" s="47">
        <f t="shared" si="8"/>
        <v>1379600</v>
      </c>
      <c r="K50" s="47">
        <f>1175956+24044</f>
        <v>1200000</v>
      </c>
      <c r="L50" s="47">
        <v>159600</v>
      </c>
      <c r="M50" s="47"/>
      <c r="N50" s="47"/>
      <c r="O50" s="47">
        <f>20000+1175956+24044</f>
        <v>1220000</v>
      </c>
      <c r="P50" s="47">
        <f t="shared" si="7"/>
        <v>87001200</v>
      </c>
    </row>
    <row r="51" spans="1:16" ht="78" x14ac:dyDescent="0.3">
      <c r="A51" s="15" t="s">
        <v>91</v>
      </c>
      <c r="B51" s="15" t="s">
        <v>92</v>
      </c>
      <c r="C51" s="15" t="s">
        <v>93</v>
      </c>
      <c r="D51" s="16" t="s">
        <v>94</v>
      </c>
      <c r="E51" s="47">
        <f t="shared" si="6"/>
        <v>4543200</v>
      </c>
      <c r="F51" s="47">
        <v>4543200</v>
      </c>
      <c r="G51" s="47">
        <v>2200400</v>
      </c>
      <c r="H51" s="47">
        <v>1208800</v>
      </c>
      <c r="I51" s="47"/>
      <c r="J51" s="47"/>
      <c r="K51" s="36"/>
      <c r="L51" s="36"/>
      <c r="M51" s="36"/>
      <c r="N51" s="36"/>
      <c r="O51" s="36"/>
      <c r="P51" s="47">
        <f t="shared" si="7"/>
        <v>4543200</v>
      </c>
    </row>
    <row r="52" spans="1:16" ht="49.95" customHeight="1" x14ac:dyDescent="0.3">
      <c r="A52" s="15" t="s">
        <v>95</v>
      </c>
      <c r="B52" s="15" t="s">
        <v>96</v>
      </c>
      <c r="C52" s="15" t="s">
        <v>89</v>
      </c>
      <c r="D52" s="16" t="s">
        <v>90</v>
      </c>
      <c r="E52" s="47">
        <f t="shared" si="6"/>
        <v>152256000</v>
      </c>
      <c r="F52" s="47">
        <v>152256000</v>
      </c>
      <c r="G52" s="47">
        <v>152256000</v>
      </c>
      <c r="H52" s="47"/>
      <c r="I52" s="47"/>
      <c r="J52" s="47"/>
      <c r="K52" s="36"/>
      <c r="L52" s="36"/>
      <c r="M52" s="36"/>
      <c r="N52" s="36"/>
      <c r="O52" s="36"/>
      <c r="P52" s="47">
        <f t="shared" si="7"/>
        <v>152256000</v>
      </c>
    </row>
    <row r="53" spans="1:16" ht="78" x14ac:dyDescent="0.3">
      <c r="A53" s="15" t="s">
        <v>97</v>
      </c>
      <c r="B53" s="15" t="s">
        <v>98</v>
      </c>
      <c r="C53" s="15" t="s">
        <v>93</v>
      </c>
      <c r="D53" s="16" t="s">
        <v>94</v>
      </c>
      <c r="E53" s="47">
        <f t="shared" si="6"/>
        <v>13200200</v>
      </c>
      <c r="F53" s="47">
        <v>13200200</v>
      </c>
      <c r="G53" s="47">
        <v>13200200</v>
      </c>
      <c r="H53" s="47"/>
      <c r="I53" s="47"/>
      <c r="J53" s="47"/>
      <c r="K53" s="36"/>
      <c r="L53" s="36"/>
      <c r="M53" s="36"/>
      <c r="N53" s="36"/>
      <c r="O53" s="36"/>
      <c r="P53" s="47">
        <f t="shared" si="7"/>
        <v>13200200</v>
      </c>
    </row>
    <row r="54" spans="1:16" ht="34.200000000000003" customHeight="1" x14ac:dyDescent="0.3">
      <c r="A54" s="15" t="s">
        <v>328</v>
      </c>
      <c r="B54" s="24">
        <v>1061</v>
      </c>
      <c r="C54" s="15" t="s">
        <v>89</v>
      </c>
      <c r="D54" s="16" t="s">
        <v>90</v>
      </c>
      <c r="E54" s="36">
        <f>F54+I54</f>
        <v>89392.87</v>
      </c>
      <c r="F54" s="36">
        <v>89392.87</v>
      </c>
      <c r="G54" s="36">
        <v>89392.87</v>
      </c>
      <c r="H54" s="36"/>
      <c r="I54" s="36"/>
      <c r="J54" s="36"/>
      <c r="K54" s="36"/>
      <c r="L54" s="36"/>
      <c r="M54" s="36"/>
      <c r="N54" s="36"/>
      <c r="O54" s="36"/>
      <c r="P54" s="36">
        <f t="shared" si="7"/>
        <v>89392.87</v>
      </c>
    </row>
    <row r="55" spans="1:16" ht="46.8" x14ac:dyDescent="0.3">
      <c r="A55" s="15" t="s">
        <v>99</v>
      </c>
      <c r="B55" s="15" t="s">
        <v>100</v>
      </c>
      <c r="C55" s="15" t="s">
        <v>101</v>
      </c>
      <c r="D55" s="16" t="s">
        <v>102</v>
      </c>
      <c r="E55" s="47">
        <f t="shared" si="6"/>
        <v>21876600</v>
      </c>
      <c r="F55" s="47">
        <v>21876600</v>
      </c>
      <c r="G55" s="47">
        <v>18294100</v>
      </c>
      <c r="H55" s="47">
        <v>1125300</v>
      </c>
      <c r="I55" s="47"/>
      <c r="J55" s="47">
        <f t="shared" si="8"/>
        <v>110399</v>
      </c>
      <c r="K55" s="36"/>
      <c r="L55" s="47">
        <v>70399</v>
      </c>
      <c r="M55" s="47"/>
      <c r="N55" s="47"/>
      <c r="O55" s="47">
        <v>40000</v>
      </c>
      <c r="P55" s="47">
        <f t="shared" si="7"/>
        <v>21986999</v>
      </c>
    </row>
    <row r="56" spans="1:16" ht="46.8" x14ac:dyDescent="0.3">
      <c r="A56" s="15" t="s">
        <v>103</v>
      </c>
      <c r="B56" s="15" t="s">
        <v>104</v>
      </c>
      <c r="C56" s="15" t="s">
        <v>105</v>
      </c>
      <c r="D56" s="16" t="s">
        <v>106</v>
      </c>
      <c r="E56" s="47">
        <f t="shared" si="6"/>
        <v>30000</v>
      </c>
      <c r="F56" s="47">
        <v>30000</v>
      </c>
      <c r="G56" s="47"/>
      <c r="H56" s="47"/>
      <c r="I56" s="47"/>
      <c r="J56" s="47"/>
      <c r="K56" s="47"/>
      <c r="L56" s="47"/>
      <c r="M56" s="47"/>
      <c r="N56" s="47"/>
      <c r="O56" s="47"/>
      <c r="P56" s="47">
        <f t="shared" si="7"/>
        <v>30000</v>
      </c>
    </row>
    <row r="57" spans="1:16" ht="31.2" x14ac:dyDescent="0.3">
      <c r="A57" s="15" t="s">
        <v>107</v>
      </c>
      <c r="B57" s="15" t="s">
        <v>108</v>
      </c>
      <c r="C57" s="15" t="s">
        <v>109</v>
      </c>
      <c r="D57" s="16" t="s">
        <v>110</v>
      </c>
      <c r="E57" s="47">
        <f t="shared" si="6"/>
        <v>3115900</v>
      </c>
      <c r="F57" s="47">
        <v>3115900</v>
      </c>
      <c r="G57" s="47">
        <v>2734500</v>
      </c>
      <c r="H57" s="47">
        <v>37400</v>
      </c>
      <c r="I57" s="47"/>
      <c r="J57" s="47"/>
      <c r="K57" s="47"/>
      <c r="L57" s="47"/>
      <c r="M57" s="47"/>
      <c r="N57" s="47"/>
      <c r="O57" s="47"/>
      <c r="P57" s="47">
        <f t="shared" si="7"/>
        <v>3115900</v>
      </c>
    </row>
    <row r="58" spans="1:16" ht="31.2" x14ac:dyDescent="0.3">
      <c r="A58" s="15" t="s">
        <v>111</v>
      </c>
      <c r="B58" s="15" t="s">
        <v>112</v>
      </c>
      <c r="C58" s="15" t="s">
        <v>109</v>
      </c>
      <c r="D58" s="16" t="s">
        <v>113</v>
      </c>
      <c r="E58" s="47">
        <f t="shared" si="6"/>
        <v>9537700</v>
      </c>
      <c r="F58" s="47">
        <v>9537700</v>
      </c>
      <c r="G58" s="47">
        <v>8267400</v>
      </c>
      <c r="H58" s="47">
        <v>425260</v>
      </c>
      <c r="I58" s="47"/>
      <c r="J58" s="47">
        <f t="shared" si="8"/>
        <v>1</v>
      </c>
      <c r="K58" s="47"/>
      <c r="L58" s="47">
        <v>1</v>
      </c>
      <c r="M58" s="47"/>
      <c r="N58" s="47"/>
      <c r="O58" s="47"/>
      <c r="P58" s="47">
        <f t="shared" si="7"/>
        <v>9537701</v>
      </c>
    </row>
    <row r="59" spans="1:16" x14ac:dyDescent="0.3">
      <c r="A59" s="15" t="s">
        <v>114</v>
      </c>
      <c r="B59" s="15" t="s">
        <v>115</v>
      </c>
      <c r="C59" s="15" t="s">
        <v>109</v>
      </c>
      <c r="D59" s="16" t="s">
        <v>116</v>
      </c>
      <c r="E59" s="47">
        <f t="shared" si="6"/>
        <v>30000</v>
      </c>
      <c r="F59" s="47">
        <v>30000</v>
      </c>
      <c r="G59" s="47"/>
      <c r="H59" s="47"/>
      <c r="I59" s="47"/>
      <c r="J59" s="47"/>
      <c r="K59" s="47"/>
      <c r="L59" s="47"/>
      <c r="M59" s="47"/>
      <c r="N59" s="47"/>
      <c r="O59" s="47"/>
      <c r="P59" s="47">
        <f t="shared" si="7"/>
        <v>30000</v>
      </c>
    </row>
    <row r="60" spans="1:16" ht="46.8" x14ac:dyDescent="0.3">
      <c r="A60" s="15" t="s">
        <v>117</v>
      </c>
      <c r="B60" s="15" t="s">
        <v>118</v>
      </c>
      <c r="C60" s="15" t="s">
        <v>109</v>
      </c>
      <c r="D60" s="16" t="s">
        <v>119</v>
      </c>
      <c r="E60" s="47">
        <f t="shared" si="6"/>
        <v>685100</v>
      </c>
      <c r="F60" s="47">
        <v>685100</v>
      </c>
      <c r="G60" s="47">
        <v>207500</v>
      </c>
      <c r="H60" s="47">
        <v>278600</v>
      </c>
      <c r="I60" s="47"/>
      <c r="J60" s="47"/>
      <c r="K60" s="47"/>
      <c r="L60" s="47"/>
      <c r="M60" s="47"/>
      <c r="N60" s="47"/>
      <c r="O60" s="47"/>
      <c r="P60" s="47">
        <f t="shared" si="7"/>
        <v>685100</v>
      </c>
    </row>
    <row r="61" spans="1:16" ht="46.8" x14ac:dyDescent="0.3">
      <c r="A61" s="15" t="s">
        <v>120</v>
      </c>
      <c r="B61" s="15" t="s">
        <v>121</v>
      </c>
      <c r="C61" s="15" t="s">
        <v>109</v>
      </c>
      <c r="D61" s="16" t="s">
        <v>122</v>
      </c>
      <c r="E61" s="47">
        <f t="shared" si="6"/>
        <v>1824000</v>
      </c>
      <c r="F61" s="47">
        <v>1824000</v>
      </c>
      <c r="G61" s="47">
        <v>1824000</v>
      </c>
      <c r="H61" s="47"/>
      <c r="I61" s="47"/>
      <c r="J61" s="47"/>
      <c r="K61" s="47"/>
      <c r="L61" s="47"/>
      <c r="M61" s="47"/>
      <c r="N61" s="47"/>
      <c r="O61" s="47"/>
      <c r="P61" s="47">
        <f t="shared" si="7"/>
        <v>1824000</v>
      </c>
    </row>
    <row r="62" spans="1:16" ht="109.2" x14ac:dyDescent="0.3">
      <c r="A62" s="25" t="s">
        <v>344</v>
      </c>
      <c r="B62" s="25" t="s">
        <v>345</v>
      </c>
      <c r="C62" s="26" t="s">
        <v>109</v>
      </c>
      <c r="D62" s="16" t="s">
        <v>346</v>
      </c>
      <c r="E62" s="36"/>
      <c r="F62" s="36"/>
      <c r="G62" s="36"/>
      <c r="H62" s="36"/>
      <c r="I62" s="36"/>
      <c r="J62" s="36">
        <f>L62+O62</f>
        <v>843840.38</v>
      </c>
      <c r="K62" s="36">
        <v>843840.38</v>
      </c>
      <c r="L62" s="36"/>
      <c r="M62" s="36"/>
      <c r="N62" s="36"/>
      <c r="O62" s="36">
        <v>843840.38</v>
      </c>
      <c r="P62" s="36">
        <f t="shared" si="7"/>
        <v>843840.38</v>
      </c>
    </row>
    <row r="63" spans="1:16" ht="93.6" x14ac:dyDescent="0.3">
      <c r="A63" s="15" t="s">
        <v>339</v>
      </c>
      <c r="B63" s="15" t="s">
        <v>340</v>
      </c>
      <c r="C63" s="15" t="s">
        <v>109</v>
      </c>
      <c r="D63" s="16" t="s">
        <v>341</v>
      </c>
      <c r="E63" s="36"/>
      <c r="F63" s="36"/>
      <c r="G63" s="36"/>
      <c r="H63" s="36"/>
      <c r="I63" s="36"/>
      <c r="J63" s="47">
        <f>L63+O63</f>
        <v>660000</v>
      </c>
      <c r="K63" s="47">
        <v>660000</v>
      </c>
      <c r="L63" s="47"/>
      <c r="M63" s="47"/>
      <c r="N63" s="47"/>
      <c r="O63" s="47">
        <v>660000</v>
      </c>
      <c r="P63" s="47">
        <f t="shared" si="7"/>
        <v>660000</v>
      </c>
    </row>
    <row r="64" spans="1:16" ht="86.4" customHeight="1" x14ac:dyDescent="0.3">
      <c r="A64" s="15" t="s">
        <v>329</v>
      </c>
      <c r="B64" s="15" t="s">
        <v>330</v>
      </c>
      <c r="C64" s="15" t="s">
        <v>109</v>
      </c>
      <c r="D64" s="16" t="s">
        <v>331</v>
      </c>
      <c r="E64" s="47">
        <f>F64+I64</f>
        <v>217230</v>
      </c>
      <c r="F64" s="47">
        <f>F65+F66</f>
        <v>217230</v>
      </c>
      <c r="G64" s="47">
        <v>217230</v>
      </c>
      <c r="H64" s="47"/>
      <c r="I64" s="47"/>
      <c r="J64" s="47"/>
      <c r="K64" s="47"/>
      <c r="L64" s="47"/>
      <c r="M64" s="47"/>
      <c r="N64" s="47"/>
      <c r="O64" s="47"/>
      <c r="P64" s="47">
        <f t="shared" si="7"/>
        <v>217230</v>
      </c>
    </row>
    <row r="65" spans="1:16" s="19" customFormat="1" ht="86.4" customHeight="1" x14ac:dyDescent="0.3">
      <c r="A65" s="17"/>
      <c r="B65" s="17"/>
      <c r="C65" s="17"/>
      <c r="D65" s="18" t="s">
        <v>332</v>
      </c>
      <c r="E65" s="48">
        <f>F65+I65</f>
        <v>31477</v>
      </c>
      <c r="F65" s="48">
        <v>31477</v>
      </c>
      <c r="G65" s="48"/>
      <c r="H65" s="48"/>
      <c r="I65" s="48"/>
      <c r="J65" s="48"/>
      <c r="K65" s="48"/>
      <c r="L65" s="48"/>
      <c r="M65" s="48"/>
      <c r="N65" s="48"/>
      <c r="O65" s="48"/>
      <c r="P65" s="48">
        <f t="shared" si="7"/>
        <v>31477</v>
      </c>
    </row>
    <row r="66" spans="1:16" s="19" customFormat="1" ht="86.4" customHeight="1" x14ac:dyDescent="0.3">
      <c r="A66" s="17"/>
      <c r="B66" s="17"/>
      <c r="C66" s="17"/>
      <c r="D66" s="18" t="s">
        <v>333</v>
      </c>
      <c r="E66" s="48">
        <f>F66+I66</f>
        <v>185753</v>
      </c>
      <c r="F66" s="48">
        <v>185753</v>
      </c>
      <c r="G66" s="48"/>
      <c r="H66" s="48"/>
      <c r="I66" s="48"/>
      <c r="J66" s="48"/>
      <c r="K66" s="48"/>
      <c r="L66" s="48"/>
      <c r="M66" s="48"/>
      <c r="N66" s="48"/>
      <c r="O66" s="48"/>
      <c r="P66" s="48">
        <f t="shared" si="7"/>
        <v>185753</v>
      </c>
    </row>
    <row r="67" spans="1:16" ht="93.6" x14ac:dyDescent="0.3">
      <c r="A67" s="15" t="s">
        <v>123</v>
      </c>
      <c r="B67" s="15" t="s">
        <v>124</v>
      </c>
      <c r="C67" s="15" t="s">
        <v>47</v>
      </c>
      <c r="D67" s="16" t="s">
        <v>125</v>
      </c>
      <c r="E67" s="47">
        <f t="shared" si="6"/>
        <v>1878800</v>
      </c>
      <c r="F67" s="47">
        <v>1878800</v>
      </c>
      <c r="G67" s="47"/>
      <c r="H67" s="47"/>
      <c r="I67" s="47"/>
      <c r="J67" s="47"/>
      <c r="K67" s="47"/>
      <c r="L67" s="47"/>
      <c r="M67" s="47"/>
      <c r="N67" s="47"/>
      <c r="O67" s="47"/>
      <c r="P67" s="47">
        <f t="shared" si="7"/>
        <v>1878800</v>
      </c>
    </row>
    <row r="68" spans="1:16" ht="31.2" x14ac:dyDescent="0.3">
      <c r="A68" s="15" t="s">
        <v>126</v>
      </c>
      <c r="B68" s="15" t="s">
        <v>50</v>
      </c>
      <c r="C68" s="15" t="s">
        <v>51</v>
      </c>
      <c r="D68" s="16" t="s">
        <v>52</v>
      </c>
      <c r="E68" s="47">
        <f t="shared" si="6"/>
        <v>2000200</v>
      </c>
      <c r="F68" s="47">
        <v>2000200</v>
      </c>
      <c r="G68" s="47"/>
      <c r="H68" s="47"/>
      <c r="I68" s="47"/>
      <c r="J68" s="47"/>
      <c r="K68" s="47"/>
      <c r="L68" s="47"/>
      <c r="M68" s="47"/>
      <c r="N68" s="47"/>
      <c r="O68" s="47"/>
      <c r="P68" s="47">
        <f t="shared" si="7"/>
        <v>2000200</v>
      </c>
    </row>
    <row r="69" spans="1:16" ht="46.8" x14ac:dyDescent="0.3">
      <c r="A69" s="15" t="s">
        <v>127</v>
      </c>
      <c r="B69" s="15" t="s">
        <v>128</v>
      </c>
      <c r="C69" s="15" t="s">
        <v>129</v>
      </c>
      <c r="D69" s="16" t="s">
        <v>130</v>
      </c>
      <c r="E69" s="47">
        <f t="shared" si="6"/>
        <v>10257600</v>
      </c>
      <c r="F69" s="47">
        <v>10257600</v>
      </c>
      <c r="G69" s="47">
        <v>8435600</v>
      </c>
      <c r="H69" s="47">
        <v>835000</v>
      </c>
      <c r="I69" s="47"/>
      <c r="J69" s="47"/>
      <c r="K69" s="47"/>
      <c r="L69" s="47"/>
      <c r="M69" s="47"/>
      <c r="N69" s="47"/>
      <c r="O69" s="47"/>
      <c r="P69" s="47">
        <f t="shared" si="7"/>
        <v>10257600</v>
      </c>
    </row>
    <row r="70" spans="1:16" ht="46.8" x14ac:dyDescent="0.3">
      <c r="A70" s="13" t="s">
        <v>131</v>
      </c>
      <c r="B70" s="13" t="s">
        <v>18</v>
      </c>
      <c r="C70" s="13" t="s">
        <v>18</v>
      </c>
      <c r="D70" s="14" t="s">
        <v>132</v>
      </c>
      <c r="E70" s="46">
        <f>F70+I70</f>
        <v>67831763</v>
      </c>
      <c r="F70" s="46">
        <f>F71</f>
        <v>67831763</v>
      </c>
      <c r="G70" s="46">
        <f>G71</f>
        <v>31611600</v>
      </c>
      <c r="H70" s="46">
        <f>H71</f>
        <v>980300</v>
      </c>
      <c r="I70" s="46"/>
      <c r="J70" s="46">
        <f>L70+O70</f>
        <v>68000</v>
      </c>
      <c r="K70" s="46"/>
      <c r="L70" s="46"/>
      <c r="M70" s="46"/>
      <c r="N70" s="46"/>
      <c r="O70" s="46">
        <f>O71</f>
        <v>68000</v>
      </c>
      <c r="P70" s="46">
        <f>E70+J70</f>
        <v>67899763</v>
      </c>
    </row>
    <row r="71" spans="1:16" ht="46.8" x14ac:dyDescent="0.3">
      <c r="A71" s="13" t="s">
        <v>133</v>
      </c>
      <c r="B71" s="13" t="s">
        <v>18</v>
      </c>
      <c r="C71" s="13" t="s">
        <v>18</v>
      </c>
      <c r="D71" s="14" t="s">
        <v>132</v>
      </c>
      <c r="E71" s="46">
        <f>F71+I71</f>
        <v>67831763</v>
      </c>
      <c r="F71" s="46">
        <f>F72+F73+F74+F75+F76+F77+F78+F79+F80+F81+F82+F83+F84+F85+F86</f>
        <v>67831763</v>
      </c>
      <c r="G71" s="46">
        <f t="shared" ref="G71:O71" si="9">G72+G73+G74+G75+G76+G77+G78+G79+G80+G81+G82+G83+G84+G85+G86</f>
        <v>31611600</v>
      </c>
      <c r="H71" s="46">
        <f t="shared" si="9"/>
        <v>980300</v>
      </c>
      <c r="I71" s="46"/>
      <c r="J71" s="46">
        <f>L71+O71</f>
        <v>68000</v>
      </c>
      <c r="K71" s="46"/>
      <c r="L71" s="46"/>
      <c r="M71" s="46"/>
      <c r="N71" s="46"/>
      <c r="O71" s="46">
        <f t="shared" si="9"/>
        <v>68000</v>
      </c>
      <c r="P71" s="46">
        <f>E71+J71</f>
        <v>67899763</v>
      </c>
    </row>
    <row r="72" spans="1:16" ht="64.2" customHeight="1" x14ac:dyDescent="0.3">
      <c r="A72" s="15" t="s">
        <v>134</v>
      </c>
      <c r="B72" s="15" t="s">
        <v>80</v>
      </c>
      <c r="C72" s="15" t="s">
        <v>23</v>
      </c>
      <c r="D72" s="16" t="s">
        <v>81</v>
      </c>
      <c r="E72" s="47">
        <f>F72+I72</f>
        <v>12581400</v>
      </c>
      <c r="F72" s="47">
        <f>11782300+799100</f>
        <v>12581400</v>
      </c>
      <c r="G72" s="47">
        <f>8699100+1913900+799100</f>
        <v>11412100</v>
      </c>
      <c r="H72" s="47">
        <v>568200</v>
      </c>
      <c r="I72" s="47"/>
      <c r="J72" s="47"/>
      <c r="K72" s="47"/>
      <c r="L72" s="47"/>
      <c r="M72" s="47"/>
      <c r="N72" s="47"/>
      <c r="O72" s="47"/>
      <c r="P72" s="47">
        <f>E72+J72</f>
        <v>12581400</v>
      </c>
    </row>
    <row r="73" spans="1:16" ht="31.2" x14ac:dyDescent="0.3">
      <c r="A73" s="15" t="s">
        <v>135</v>
      </c>
      <c r="B73" s="15" t="s">
        <v>30</v>
      </c>
      <c r="C73" s="15" t="s">
        <v>31</v>
      </c>
      <c r="D73" s="16" t="s">
        <v>32</v>
      </c>
      <c r="E73" s="47">
        <f t="shared" ref="E73:E86" si="10">F73+I73</f>
        <v>399000</v>
      </c>
      <c r="F73" s="47">
        <v>399000</v>
      </c>
      <c r="G73" s="47"/>
      <c r="H73" s="47"/>
      <c r="I73" s="47"/>
      <c r="J73" s="47"/>
      <c r="K73" s="47"/>
      <c r="L73" s="47"/>
      <c r="M73" s="47"/>
      <c r="N73" s="47"/>
      <c r="O73" s="47"/>
      <c r="P73" s="47">
        <f t="shared" ref="P73:P86" si="11">E73+J73</f>
        <v>399000</v>
      </c>
    </row>
    <row r="74" spans="1:16" ht="46.8" x14ac:dyDescent="0.3">
      <c r="A74" s="15" t="s">
        <v>136</v>
      </c>
      <c r="B74" s="15" t="s">
        <v>137</v>
      </c>
      <c r="C74" s="15" t="s">
        <v>138</v>
      </c>
      <c r="D74" s="16" t="s">
        <v>139</v>
      </c>
      <c r="E74" s="47">
        <f t="shared" si="10"/>
        <v>186000</v>
      </c>
      <c r="F74" s="47">
        <v>186000</v>
      </c>
      <c r="G74" s="47"/>
      <c r="H74" s="47"/>
      <c r="I74" s="47"/>
      <c r="J74" s="47"/>
      <c r="K74" s="47"/>
      <c r="L74" s="47"/>
      <c r="M74" s="47"/>
      <c r="N74" s="47"/>
      <c r="O74" s="47"/>
      <c r="P74" s="47">
        <f t="shared" si="11"/>
        <v>186000</v>
      </c>
    </row>
    <row r="75" spans="1:16" ht="31.2" x14ac:dyDescent="0.3">
      <c r="A75" s="15" t="s">
        <v>140</v>
      </c>
      <c r="B75" s="15" t="s">
        <v>141</v>
      </c>
      <c r="C75" s="15" t="s">
        <v>100</v>
      </c>
      <c r="D75" s="16" t="s">
        <v>142</v>
      </c>
      <c r="E75" s="47">
        <f t="shared" si="10"/>
        <v>48000</v>
      </c>
      <c r="F75" s="47">
        <v>48000</v>
      </c>
      <c r="G75" s="47"/>
      <c r="H75" s="47"/>
      <c r="I75" s="47"/>
      <c r="J75" s="47"/>
      <c r="K75" s="47"/>
      <c r="L75" s="47"/>
      <c r="M75" s="47"/>
      <c r="N75" s="47"/>
      <c r="O75" s="47"/>
      <c r="P75" s="47">
        <f t="shared" si="11"/>
        <v>48000</v>
      </c>
    </row>
    <row r="76" spans="1:16" ht="46.8" x14ac:dyDescent="0.3">
      <c r="A76" s="15" t="s">
        <v>143</v>
      </c>
      <c r="B76" s="15" t="s">
        <v>144</v>
      </c>
      <c r="C76" s="15" t="s">
        <v>100</v>
      </c>
      <c r="D76" s="16" t="s">
        <v>145</v>
      </c>
      <c r="E76" s="47">
        <f t="shared" si="10"/>
        <v>251803</v>
      </c>
      <c r="F76" s="47">
        <v>251803</v>
      </c>
      <c r="G76" s="47"/>
      <c r="H76" s="47"/>
      <c r="I76" s="47"/>
      <c r="J76" s="47"/>
      <c r="K76" s="47"/>
      <c r="L76" s="47"/>
      <c r="M76" s="47"/>
      <c r="N76" s="47"/>
      <c r="O76" s="47"/>
      <c r="P76" s="47">
        <f t="shared" si="11"/>
        <v>251803</v>
      </c>
    </row>
    <row r="77" spans="1:16" ht="46.8" x14ac:dyDescent="0.3">
      <c r="A77" s="15" t="s">
        <v>146</v>
      </c>
      <c r="B77" s="15" t="s">
        <v>147</v>
      </c>
      <c r="C77" s="15" t="s">
        <v>138</v>
      </c>
      <c r="D77" s="16" t="s">
        <v>148</v>
      </c>
      <c r="E77" s="47">
        <f t="shared" si="10"/>
        <v>204050</v>
      </c>
      <c r="F77" s="47">
        <v>204050</v>
      </c>
      <c r="G77" s="47"/>
      <c r="H77" s="47"/>
      <c r="I77" s="47"/>
      <c r="J77" s="47"/>
      <c r="K77" s="47"/>
      <c r="L77" s="47"/>
      <c r="M77" s="47"/>
      <c r="N77" s="47"/>
      <c r="O77" s="47"/>
      <c r="P77" s="47">
        <f t="shared" si="11"/>
        <v>204050</v>
      </c>
    </row>
    <row r="78" spans="1:16" ht="78" x14ac:dyDescent="0.3">
      <c r="A78" s="15" t="s">
        <v>149</v>
      </c>
      <c r="B78" s="15" t="s">
        <v>150</v>
      </c>
      <c r="C78" s="15" t="s">
        <v>151</v>
      </c>
      <c r="D78" s="16" t="s">
        <v>152</v>
      </c>
      <c r="E78" s="47">
        <f t="shared" si="10"/>
        <v>15197500</v>
      </c>
      <c r="F78" s="47">
        <v>15197500</v>
      </c>
      <c r="G78" s="47">
        <v>14727300</v>
      </c>
      <c r="H78" s="47">
        <v>158900</v>
      </c>
      <c r="I78" s="47"/>
      <c r="J78" s="47">
        <f t="shared" ref="J78" si="12">L78+O78</f>
        <v>68000</v>
      </c>
      <c r="K78" s="47"/>
      <c r="L78" s="47"/>
      <c r="M78" s="47"/>
      <c r="N78" s="47"/>
      <c r="O78" s="47">
        <v>68000</v>
      </c>
      <c r="P78" s="47">
        <f t="shared" si="11"/>
        <v>15265500</v>
      </c>
    </row>
    <row r="79" spans="1:16" ht="31.2" x14ac:dyDescent="0.3">
      <c r="A79" s="15" t="s">
        <v>153</v>
      </c>
      <c r="B79" s="15" t="s">
        <v>154</v>
      </c>
      <c r="C79" s="15" t="s">
        <v>47</v>
      </c>
      <c r="D79" s="16" t="s">
        <v>155</v>
      </c>
      <c r="E79" s="47">
        <f t="shared" si="10"/>
        <v>6935900</v>
      </c>
      <c r="F79" s="47">
        <v>6935900</v>
      </c>
      <c r="G79" s="47">
        <v>5472200</v>
      </c>
      <c r="H79" s="47">
        <v>253200</v>
      </c>
      <c r="I79" s="47"/>
      <c r="J79" s="47"/>
      <c r="K79" s="47"/>
      <c r="L79" s="47"/>
      <c r="M79" s="47"/>
      <c r="N79" s="47"/>
      <c r="O79" s="47"/>
      <c r="P79" s="47">
        <f t="shared" si="11"/>
        <v>6935900</v>
      </c>
    </row>
    <row r="80" spans="1:16" ht="31.2" x14ac:dyDescent="0.3">
      <c r="A80" s="15" t="s">
        <v>156</v>
      </c>
      <c r="B80" s="15" t="s">
        <v>157</v>
      </c>
      <c r="C80" s="15" t="s">
        <v>47</v>
      </c>
      <c r="D80" s="16" t="s">
        <v>158</v>
      </c>
      <c r="E80" s="47">
        <f t="shared" si="10"/>
        <v>640000</v>
      </c>
      <c r="F80" s="47">
        <v>640000</v>
      </c>
      <c r="G80" s="47"/>
      <c r="H80" s="47"/>
      <c r="I80" s="47"/>
      <c r="J80" s="47"/>
      <c r="K80" s="47"/>
      <c r="L80" s="47"/>
      <c r="M80" s="47"/>
      <c r="N80" s="47"/>
      <c r="O80" s="47"/>
      <c r="P80" s="47">
        <f t="shared" si="11"/>
        <v>640000</v>
      </c>
    </row>
    <row r="81" spans="1:16" ht="93.6" x14ac:dyDescent="0.3">
      <c r="A81" s="15" t="s">
        <v>159</v>
      </c>
      <c r="B81" s="15" t="s">
        <v>124</v>
      </c>
      <c r="C81" s="15" t="s">
        <v>47</v>
      </c>
      <c r="D81" s="16" t="s">
        <v>125</v>
      </c>
      <c r="E81" s="47">
        <f t="shared" si="10"/>
        <v>1200000</v>
      </c>
      <c r="F81" s="47">
        <v>1200000</v>
      </c>
      <c r="G81" s="47"/>
      <c r="H81" s="47"/>
      <c r="I81" s="47"/>
      <c r="J81" s="47"/>
      <c r="K81" s="47"/>
      <c r="L81" s="47"/>
      <c r="M81" s="47"/>
      <c r="N81" s="47"/>
      <c r="O81" s="47"/>
      <c r="P81" s="47">
        <f t="shared" si="11"/>
        <v>1200000</v>
      </c>
    </row>
    <row r="82" spans="1:16" ht="109.2" x14ac:dyDescent="0.3">
      <c r="A82" s="15" t="s">
        <v>160</v>
      </c>
      <c r="B82" s="15" t="s">
        <v>161</v>
      </c>
      <c r="C82" s="15" t="s">
        <v>84</v>
      </c>
      <c r="D82" s="16" t="s">
        <v>162</v>
      </c>
      <c r="E82" s="47">
        <f t="shared" si="10"/>
        <v>900000</v>
      </c>
      <c r="F82" s="47">
        <v>900000</v>
      </c>
      <c r="G82" s="47"/>
      <c r="H82" s="47"/>
      <c r="I82" s="47"/>
      <c r="J82" s="47"/>
      <c r="K82" s="47"/>
      <c r="L82" s="47"/>
      <c r="M82" s="47"/>
      <c r="N82" s="47"/>
      <c r="O82" s="47"/>
      <c r="P82" s="47">
        <f t="shared" si="11"/>
        <v>900000</v>
      </c>
    </row>
    <row r="83" spans="1:16" ht="78" x14ac:dyDescent="0.3">
      <c r="A83" s="15" t="s">
        <v>163</v>
      </c>
      <c r="B83" s="15" t="s">
        <v>164</v>
      </c>
      <c r="C83" s="15" t="s">
        <v>84</v>
      </c>
      <c r="D83" s="16" t="s">
        <v>165</v>
      </c>
      <c r="E83" s="47">
        <f t="shared" si="10"/>
        <v>27110</v>
      </c>
      <c r="F83" s="47">
        <v>27110</v>
      </c>
      <c r="G83" s="47"/>
      <c r="H83" s="47"/>
      <c r="I83" s="47"/>
      <c r="J83" s="47"/>
      <c r="K83" s="47"/>
      <c r="L83" s="47"/>
      <c r="M83" s="47"/>
      <c r="N83" s="47"/>
      <c r="O83" s="47"/>
      <c r="P83" s="47">
        <f t="shared" si="11"/>
        <v>27110</v>
      </c>
    </row>
    <row r="84" spans="1:16" ht="93.6" x14ac:dyDescent="0.3">
      <c r="A84" s="15" t="s">
        <v>166</v>
      </c>
      <c r="B84" s="15" t="s">
        <v>167</v>
      </c>
      <c r="C84" s="15" t="s">
        <v>168</v>
      </c>
      <c r="D84" s="16" t="s">
        <v>169</v>
      </c>
      <c r="E84" s="47">
        <f t="shared" si="10"/>
        <v>1500000</v>
      </c>
      <c r="F84" s="47">
        <v>1500000</v>
      </c>
      <c r="G84" s="47"/>
      <c r="H84" s="47"/>
      <c r="I84" s="47"/>
      <c r="J84" s="47"/>
      <c r="K84" s="47"/>
      <c r="L84" s="47"/>
      <c r="M84" s="47"/>
      <c r="N84" s="47"/>
      <c r="O84" s="47"/>
      <c r="P84" s="47">
        <f t="shared" si="11"/>
        <v>1500000</v>
      </c>
    </row>
    <row r="85" spans="1:16" ht="62.4" x14ac:dyDescent="0.3">
      <c r="A85" s="15" t="s">
        <v>170</v>
      </c>
      <c r="B85" s="15" t="s">
        <v>171</v>
      </c>
      <c r="C85" s="15" t="s">
        <v>138</v>
      </c>
      <c r="D85" s="16" t="s">
        <v>172</v>
      </c>
      <c r="E85" s="47">
        <f t="shared" si="10"/>
        <v>100000</v>
      </c>
      <c r="F85" s="47">
        <v>100000</v>
      </c>
      <c r="G85" s="47"/>
      <c r="H85" s="47"/>
      <c r="I85" s="47"/>
      <c r="J85" s="47"/>
      <c r="K85" s="47"/>
      <c r="L85" s="47"/>
      <c r="M85" s="47"/>
      <c r="N85" s="47"/>
      <c r="O85" s="47"/>
      <c r="P85" s="47">
        <f t="shared" si="11"/>
        <v>100000</v>
      </c>
    </row>
    <row r="86" spans="1:16" ht="31.2" x14ac:dyDescent="0.3">
      <c r="A86" s="15" t="s">
        <v>173</v>
      </c>
      <c r="B86" s="15" t="s">
        <v>50</v>
      </c>
      <c r="C86" s="15" t="s">
        <v>51</v>
      </c>
      <c r="D86" s="16" t="s">
        <v>52</v>
      </c>
      <c r="E86" s="47">
        <f t="shared" si="10"/>
        <v>27661000</v>
      </c>
      <c r="F86" s="47">
        <v>27661000</v>
      </c>
      <c r="G86" s="47"/>
      <c r="H86" s="47"/>
      <c r="I86" s="47"/>
      <c r="J86" s="47"/>
      <c r="K86" s="47"/>
      <c r="L86" s="47"/>
      <c r="M86" s="47"/>
      <c r="N86" s="47"/>
      <c r="O86" s="47"/>
      <c r="P86" s="47">
        <f t="shared" si="11"/>
        <v>27661000</v>
      </c>
    </row>
    <row r="87" spans="1:16" ht="46.8" x14ac:dyDescent="0.3">
      <c r="A87" s="13" t="s">
        <v>174</v>
      </c>
      <c r="B87" s="13" t="s">
        <v>18</v>
      </c>
      <c r="C87" s="13" t="s">
        <v>18</v>
      </c>
      <c r="D87" s="14" t="s">
        <v>175</v>
      </c>
      <c r="E87" s="46">
        <f>F87+I87</f>
        <v>48815900</v>
      </c>
      <c r="F87" s="46">
        <f>F88</f>
        <v>48815900</v>
      </c>
      <c r="G87" s="46">
        <f>G88</f>
        <v>42297400</v>
      </c>
      <c r="H87" s="46">
        <f>H88</f>
        <v>2968300</v>
      </c>
      <c r="I87" s="46"/>
      <c r="J87" s="46">
        <f>L87+O87</f>
        <v>1323500</v>
      </c>
      <c r="K87" s="46"/>
      <c r="L87" s="46">
        <f>L88</f>
        <v>1096500</v>
      </c>
      <c r="M87" s="46">
        <f>M88</f>
        <v>415000</v>
      </c>
      <c r="N87" s="46"/>
      <c r="O87" s="46">
        <f>O88</f>
        <v>227000</v>
      </c>
      <c r="P87" s="46">
        <f>E87+J87</f>
        <v>50139400</v>
      </c>
    </row>
    <row r="88" spans="1:16" ht="46.8" x14ac:dyDescent="0.3">
      <c r="A88" s="13" t="s">
        <v>176</v>
      </c>
      <c r="B88" s="13" t="s">
        <v>18</v>
      </c>
      <c r="C88" s="13" t="s">
        <v>18</v>
      </c>
      <c r="D88" s="14" t="s">
        <v>175</v>
      </c>
      <c r="E88" s="46">
        <f>F88+I88</f>
        <v>48815900</v>
      </c>
      <c r="F88" s="46">
        <f>F89+F90+F91+F92+F93+F94+F95+F96</f>
        <v>48815900</v>
      </c>
      <c r="G88" s="46">
        <f>G89+G90+G91+G92+G93+G94+G95+G96</f>
        <v>42297400</v>
      </c>
      <c r="H88" s="46">
        <f>H89+H90+H91+H92+H93+H94+H95+H96</f>
        <v>2968300</v>
      </c>
      <c r="I88" s="46"/>
      <c r="J88" s="46">
        <f>L88+O88</f>
        <v>1323500</v>
      </c>
      <c r="K88" s="46"/>
      <c r="L88" s="46">
        <f>L89+L90+L91+L92+L93+L94+L95+L96</f>
        <v>1096500</v>
      </c>
      <c r="M88" s="46">
        <f>M89+M90+M91+M92+M93+M94+M95+M96</f>
        <v>415000</v>
      </c>
      <c r="N88" s="46"/>
      <c r="O88" s="46">
        <f>O89+O90+O91+O92+O93+O94+O95+O96</f>
        <v>227000</v>
      </c>
      <c r="P88" s="46">
        <f>E88+J88</f>
        <v>50139400</v>
      </c>
    </row>
    <row r="89" spans="1:16" ht="64.2" customHeight="1" x14ac:dyDescent="0.3">
      <c r="A89" s="15" t="s">
        <v>177</v>
      </c>
      <c r="B89" s="15" t="s">
        <v>80</v>
      </c>
      <c r="C89" s="15" t="s">
        <v>23</v>
      </c>
      <c r="D89" s="16" t="s">
        <v>81</v>
      </c>
      <c r="E89" s="47">
        <f>F89+I89</f>
        <v>667400</v>
      </c>
      <c r="F89" s="47">
        <f>621400+46000</f>
        <v>667400</v>
      </c>
      <c r="G89" s="47">
        <f>489600+107700+46000</f>
        <v>643300</v>
      </c>
      <c r="H89" s="47"/>
      <c r="I89" s="47"/>
      <c r="J89" s="47"/>
      <c r="K89" s="47"/>
      <c r="L89" s="47"/>
      <c r="M89" s="47"/>
      <c r="N89" s="47"/>
      <c r="O89" s="47"/>
      <c r="P89" s="47">
        <f>E89+J89</f>
        <v>667400</v>
      </c>
    </row>
    <row r="90" spans="1:16" ht="31.2" x14ac:dyDescent="0.3">
      <c r="A90" s="15" t="s">
        <v>178</v>
      </c>
      <c r="B90" s="15" t="s">
        <v>30</v>
      </c>
      <c r="C90" s="15" t="s">
        <v>31</v>
      </c>
      <c r="D90" s="16" t="s">
        <v>32</v>
      </c>
      <c r="E90" s="47">
        <f t="shared" ref="E90:E96" si="13">F90+I90</f>
        <v>319000</v>
      </c>
      <c r="F90" s="47">
        <v>319000</v>
      </c>
      <c r="G90" s="47"/>
      <c r="H90" s="47"/>
      <c r="I90" s="47"/>
      <c r="J90" s="47"/>
      <c r="K90" s="47"/>
      <c r="L90" s="47"/>
      <c r="M90" s="47"/>
      <c r="N90" s="47"/>
      <c r="O90" s="47"/>
      <c r="P90" s="47">
        <f t="shared" ref="P90:P96" si="14">E90+J90</f>
        <v>319000</v>
      </c>
    </row>
    <row r="91" spans="1:16" ht="31.2" x14ac:dyDescent="0.3">
      <c r="A91" s="15" t="s">
        <v>179</v>
      </c>
      <c r="B91" s="15" t="s">
        <v>180</v>
      </c>
      <c r="C91" s="15" t="s">
        <v>101</v>
      </c>
      <c r="D91" s="16" t="s">
        <v>181</v>
      </c>
      <c r="E91" s="47">
        <f t="shared" si="13"/>
        <v>22309300</v>
      </c>
      <c r="F91" s="47">
        <v>22309300</v>
      </c>
      <c r="G91" s="47">
        <v>21723400</v>
      </c>
      <c r="H91" s="47">
        <v>547200</v>
      </c>
      <c r="I91" s="47"/>
      <c r="J91" s="47">
        <f t="shared" ref="J91:J94" si="15">L91+O91</f>
        <v>1001500</v>
      </c>
      <c r="K91" s="47"/>
      <c r="L91" s="47">
        <v>801500</v>
      </c>
      <c r="M91" s="47">
        <v>385000</v>
      </c>
      <c r="N91" s="47"/>
      <c r="O91" s="47">
        <v>200000</v>
      </c>
      <c r="P91" s="47">
        <f t="shared" si="14"/>
        <v>23310800</v>
      </c>
    </row>
    <row r="92" spans="1:16" x14ac:dyDescent="0.3">
      <c r="A92" s="15" t="s">
        <v>182</v>
      </c>
      <c r="B92" s="15" t="s">
        <v>183</v>
      </c>
      <c r="C92" s="15" t="s">
        <v>184</v>
      </c>
      <c r="D92" s="16" t="s">
        <v>185</v>
      </c>
      <c r="E92" s="47">
        <f t="shared" si="13"/>
        <v>7835400</v>
      </c>
      <c r="F92" s="47">
        <v>7835400</v>
      </c>
      <c r="G92" s="47">
        <v>6552100</v>
      </c>
      <c r="H92" s="47">
        <v>984300</v>
      </c>
      <c r="I92" s="47"/>
      <c r="J92" s="47">
        <f t="shared" si="15"/>
        <v>97000</v>
      </c>
      <c r="K92" s="47"/>
      <c r="L92" s="47">
        <v>97000</v>
      </c>
      <c r="M92" s="47"/>
      <c r="N92" s="47"/>
      <c r="O92" s="47"/>
      <c r="P92" s="47">
        <f t="shared" si="14"/>
        <v>7932400</v>
      </c>
    </row>
    <row r="93" spans="1:16" ht="31.2" x14ac:dyDescent="0.3">
      <c r="A93" s="15" t="s">
        <v>186</v>
      </c>
      <c r="B93" s="15" t="s">
        <v>187</v>
      </c>
      <c r="C93" s="15" t="s">
        <v>184</v>
      </c>
      <c r="D93" s="16" t="s">
        <v>188</v>
      </c>
      <c r="E93" s="47">
        <f t="shared" si="13"/>
        <v>2827900</v>
      </c>
      <c r="F93" s="47">
        <v>2827900</v>
      </c>
      <c r="G93" s="47">
        <v>2220400</v>
      </c>
      <c r="H93" s="47">
        <v>403300</v>
      </c>
      <c r="I93" s="47"/>
      <c r="J93" s="47">
        <f t="shared" si="15"/>
        <v>40000</v>
      </c>
      <c r="K93" s="47"/>
      <c r="L93" s="47">
        <v>40000</v>
      </c>
      <c r="M93" s="47"/>
      <c r="N93" s="47"/>
      <c r="O93" s="47"/>
      <c r="P93" s="47">
        <f t="shared" si="14"/>
        <v>2867900</v>
      </c>
    </row>
    <row r="94" spans="1:16" ht="46.8" x14ac:dyDescent="0.3">
      <c r="A94" s="15" t="s">
        <v>189</v>
      </c>
      <c r="B94" s="15" t="s">
        <v>190</v>
      </c>
      <c r="C94" s="15" t="s">
        <v>191</v>
      </c>
      <c r="D94" s="16" t="s">
        <v>192</v>
      </c>
      <c r="E94" s="47">
        <f t="shared" si="13"/>
        <v>10656600</v>
      </c>
      <c r="F94" s="47">
        <v>10656600</v>
      </c>
      <c r="G94" s="47">
        <v>9255000</v>
      </c>
      <c r="H94" s="47">
        <v>950700</v>
      </c>
      <c r="I94" s="47"/>
      <c r="J94" s="47">
        <f t="shared" si="15"/>
        <v>185000</v>
      </c>
      <c r="K94" s="47"/>
      <c r="L94" s="47">
        <v>158000</v>
      </c>
      <c r="M94" s="47">
        <v>30000</v>
      </c>
      <c r="N94" s="47"/>
      <c r="O94" s="47">
        <v>27000</v>
      </c>
      <c r="P94" s="47">
        <f t="shared" si="14"/>
        <v>10841600</v>
      </c>
    </row>
    <row r="95" spans="1:16" ht="31.2" x14ac:dyDescent="0.3">
      <c r="A95" s="15" t="s">
        <v>193</v>
      </c>
      <c r="B95" s="15" t="s">
        <v>194</v>
      </c>
      <c r="C95" s="15" t="s">
        <v>195</v>
      </c>
      <c r="D95" s="16" t="s">
        <v>196</v>
      </c>
      <c r="E95" s="47">
        <f t="shared" si="13"/>
        <v>2067600</v>
      </c>
      <c r="F95" s="47">
        <v>2067600</v>
      </c>
      <c r="G95" s="47">
        <v>1903200</v>
      </c>
      <c r="H95" s="47">
        <v>82800</v>
      </c>
      <c r="I95" s="47"/>
      <c r="J95" s="47"/>
      <c r="K95" s="47"/>
      <c r="L95" s="47"/>
      <c r="M95" s="47"/>
      <c r="N95" s="47"/>
      <c r="O95" s="47"/>
      <c r="P95" s="47">
        <f t="shared" si="14"/>
        <v>2067600</v>
      </c>
    </row>
    <row r="96" spans="1:16" ht="31.2" x14ac:dyDescent="0.3">
      <c r="A96" s="15" t="s">
        <v>197</v>
      </c>
      <c r="B96" s="15" t="s">
        <v>198</v>
      </c>
      <c r="C96" s="15" t="s">
        <v>195</v>
      </c>
      <c r="D96" s="16" t="s">
        <v>199</v>
      </c>
      <c r="E96" s="47">
        <f t="shared" si="13"/>
        <v>2132700</v>
      </c>
      <c r="F96" s="47">
        <v>2132700</v>
      </c>
      <c r="G96" s="47"/>
      <c r="H96" s="47"/>
      <c r="I96" s="47"/>
      <c r="J96" s="47"/>
      <c r="K96" s="47"/>
      <c r="L96" s="47"/>
      <c r="M96" s="47"/>
      <c r="N96" s="47"/>
      <c r="O96" s="47"/>
      <c r="P96" s="47">
        <f t="shared" si="14"/>
        <v>2132700</v>
      </c>
    </row>
    <row r="97" spans="1:16" ht="46.8" x14ac:dyDescent="0.3">
      <c r="A97" s="13" t="s">
        <v>200</v>
      </c>
      <c r="B97" s="13" t="s">
        <v>18</v>
      </c>
      <c r="C97" s="13" t="s">
        <v>18</v>
      </c>
      <c r="D97" s="14" t="s">
        <v>335</v>
      </c>
      <c r="E97" s="46">
        <f t="shared" ref="E97:E107" si="16">F97+I97</f>
        <v>5795900</v>
      </c>
      <c r="F97" s="46">
        <f>F98</f>
        <v>5795900</v>
      </c>
      <c r="G97" s="46">
        <f>G98</f>
        <v>1718700</v>
      </c>
      <c r="H97" s="46"/>
      <c r="I97" s="46"/>
      <c r="J97" s="46"/>
      <c r="K97" s="46"/>
      <c r="L97" s="46"/>
      <c r="M97" s="46"/>
      <c r="N97" s="46"/>
      <c r="O97" s="46"/>
      <c r="P97" s="46">
        <f t="shared" ref="P97:P107" si="17">E97+J97</f>
        <v>5795900</v>
      </c>
    </row>
    <row r="98" spans="1:16" ht="46.8" x14ac:dyDescent="0.3">
      <c r="A98" s="13" t="s">
        <v>201</v>
      </c>
      <c r="B98" s="13" t="s">
        <v>18</v>
      </c>
      <c r="C98" s="13" t="s">
        <v>18</v>
      </c>
      <c r="D98" s="14" t="s">
        <v>335</v>
      </c>
      <c r="E98" s="46">
        <f t="shared" si="16"/>
        <v>5795900</v>
      </c>
      <c r="F98" s="46">
        <f>F99+F100+F101+F102+F103+F104</f>
        <v>5795900</v>
      </c>
      <c r="G98" s="46">
        <f t="shared" ref="G98" si="18">G99+G100+G101+G102+G103+G104</f>
        <v>1718700</v>
      </c>
      <c r="H98" s="46"/>
      <c r="I98" s="46"/>
      <c r="J98" s="46"/>
      <c r="K98" s="46"/>
      <c r="L98" s="46"/>
      <c r="M98" s="46"/>
      <c r="N98" s="46"/>
      <c r="O98" s="46"/>
      <c r="P98" s="46">
        <f t="shared" si="17"/>
        <v>5795900</v>
      </c>
    </row>
    <row r="99" spans="1:16" ht="65.400000000000006" customHeight="1" x14ac:dyDescent="0.3">
      <c r="A99" s="15" t="s">
        <v>202</v>
      </c>
      <c r="B99" s="15" t="s">
        <v>80</v>
      </c>
      <c r="C99" s="15" t="s">
        <v>23</v>
      </c>
      <c r="D99" s="16" t="s">
        <v>81</v>
      </c>
      <c r="E99" s="47">
        <f t="shared" si="16"/>
        <v>1801900</v>
      </c>
      <c r="F99" s="47">
        <f>1688100+113800</f>
        <v>1801900</v>
      </c>
      <c r="G99" s="47">
        <f>1311976+292924+113800</f>
        <v>1718700</v>
      </c>
      <c r="H99" s="47"/>
      <c r="I99" s="47"/>
      <c r="J99" s="47"/>
      <c r="K99" s="47"/>
      <c r="L99" s="47"/>
      <c r="M99" s="47"/>
      <c r="N99" s="47"/>
      <c r="O99" s="47"/>
      <c r="P99" s="47">
        <f t="shared" si="17"/>
        <v>1801900</v>
      </c>
    </row>
    <row r="100" spans="1:16" ht="31.2" x14ac:dyDescent="0.3">
      <c r="A100" s="15" t="s">
        <v>203</v>
      </c>
      <c r="B100" s="15" t="s">
        <v>30</v>
      </c>
      <c r="C100" s="15" t="s">
        <v>31</v>
      </c>
      <c r="D100" s="16" t="s">
        <v>32</v>
      </c>
      <c r="E100" s="47">
        <f t="shared" si="16"/>
        <v>319000</v>
      </c>
      <c r="F100" s="47">
        <v>319000</v>
      </c>
      <c r="G100" s="47"/>
      <c r="H100" s="47"/>
      <c r="I100" s="47"/>
      <c r="J100" s="47"/>
      <c r="K100" s="47"/>
      <c r="L100" s="47"/>
      <c r="M100" s="47"/>
      <c r="N100" s="47"/>
      <c r="O100" s="47"/>
      <c r="P100" s="47">
        <f t="shared" si="17"/>
        <v>319000</v>
      </c>
    </row>
    <row r="101" spans="1:16" ht="31.2" x14ac:dyDescent="0.3">
      <c r="A101" s="15" t="s">
        <v>204</v>
      </c>
      <c r="B101" s="15" t="s">
        <v>205</v>
      </c>
      <c r="C101" s="15" t="s">
        <v>47</v>
      </c>
      <c r="D101" s="16" t="s">
        <v>206</v>
      </c>
      <c r="E101" s="47">
        <f t="shared" si="16"/>
        <v>1483700</v>
      </c>
      <c r="F101" s="47">
        <f>1629800-146100</f>
        <v>1483700</v>
      </c>
      <c r="G101" s="47"/>
      <c r="H101" s="47"/>
      <c r="I101" s="47"/>
      <c r="J101" s="47"/>
      <c r="K101" s="47"/>
      <c r="L101" s="47"/>
      <c r="M101" s="47"/>
      <c r="N101" s="47"/>
      <c r="O101" s="47"/>
      <c r="P101" s="47">
        <f t="shared" si="17"/>
        <v>1483700</v>
      </c>
    </row>
    <row r="102" spans="1:16" ht="46.8" x14ac:dyDescent="0.3">
      <c r="A102" s="15" t="s">
        <v>207</v>
      </c>
      <c r="B102" s="15" t="s">
        <v>208</v>
      </c>
      <c r="C102" s="15" t="s">
        <v>129</v>
      </c>
      <c r="D102" s="16" t="s">
        <v>209</v>
      </c>
      <c r="E102" s="47">
        <f t="shared" si="16"/>
        <v>726100</v>
      </c>
      <c r="F102" s="47">
        <f>580000+146100</f>
        <v>726100</v>
      </c>
      <c r="G102" s="47"/>
      <c r="H102" s="47"/>
      <c r="I102" s="47"/>
      <c r="J102" s="47"/>
      <c r="K102" s="47"/>
      <c r="L102" s="47"/>
      <c r="M102" s="47"/>
      <c r="N102" s="47"/>
      <c r="O102" s="47"/>
      <c r="P102" s="47">
        <f t="shared" si="17"/>
        <v>726100</v>
      </c>
    </row>
    <row r="103" spans="1:16" ht="46.8" x14ac:dyDescent="0.3">
      <c r="A103" s="15" t="s">
        <v>210</v>
      </c>
      <c r="B103" s="15" t="s">
        <v>211</v>
      </c>
      <c r="C103" s="15" t="s">
        <v>129</v>
      </c>
      <c r="D103" s="16" t="s">
        <v>212</v>
      </c>
      <c r="E103" s="47">
        <f t="shared" si="16"/>
        <v>260000</v>
      </c>
      <c r="F103" s="47">
        <v>260000</v>
      </c>
      <c r="G103" s="47"/>
      <c r="H103" s="47"/>
      <c r="I103" s="47"/>
      <c r="J103" s="47"/>
      <c r="K103" s="47"/>
      <c r="L103" s="47"/>
      <c r="M103" s="47"/>
      <c r="N103" s="47"/>
      <c r="O103" s="47"/>
      <c r="P103" s="47">
        <f t="shared" si="17"/>
        <v>260000</v>
      </c>
    </row>
    <row r="104" spans="1:16" ht="78" x14ac:dyDescent="0.3">
      <c r="A104" s="15" t="s">
        <v>213</v>
      </c>
      <c r="B104" s="15" t="s">
        <v>214</v>
      </c>
      <c r="C104" s="15" t="s">
        <v>129</v>
      </c>
      <c r="D104" s="16" t="s">
        <v>215</v>
      </c>
      <c r="E104" s="47">
        <f t="shared" si="16"/>
        <v>1205200</v>
      </c>
      <c r="F104" s="47">
        <v>1205200</v>
      </c>
      <c r="G104" s="47"/>
      <c r="H104" s="47"/>
      <c r="I104" s="47"/>
      <c r="J104" s="47"/>
      <c r="K104" s="47"/>
      <c r="L104" s="47"/>
      <c r="M104" s="47"/>
      <c r="N104" s="47"/>
      <c r="O104" s="47"/>
      <c r="P104" s="47">
        <f t="shared" si="17"/>
        <v>1205200</v>
      </c>
    </row>
    <row r="105" spans="1:16" ht="62.4" x14ac:dyDescent="0.3">
      <c r="A105" s="13" t="s">
        <v>216</v>
      </c>
      <c r="B105" s="13" t="s">
        <v>18</v>
      </c>
      <c r="C105" s="13" t="s">
        <v>18</v>
      </c>
      <c r="D105" s="14" t="s">
        <v>217</v>
      </c>
      <c r="E105" s="46">
        <f t="shared" si="16"/>
        <v>106575900</v>
      </c>
      <c r="F105" s="46">
        <f>F106</f>
        <v>41545678</v>
      </c>
      <c r="G105" s="46">
        <f>G106</f>
        <v>3038800</v>
      </c>
      <c r="H105" s="46"/>
      <c r="I105" s="46">
        <f>I106</f>
        <v>65030222</v>
      </c>
      <c r="J105" s="40">
        <f t="shared" ref="J105:J106" si="19">L105+O105</f>
        <v>16024668.08</v>
      </c>
      <c r="K105" s="40">
        <f>K106</f>
        <v>11568604.699999999</v>
      </c>
      <c r="L105" s="46">
        <f>L106</f>
        <v>250000</v>
      </c>
      <c r="M105" s="40"/>
      <c r="N105" s="40"/>
      <c r="O105" s="40">
        <f>O106</f>
        <v>15774668.08</v>
      </c>
      <c r="P105" s="40">
        <f t="shared" si="17"/>
        <v>122600568.08</v>
      </c>
    </row>
    <row r="106" spans="1:16" ht="62.4" x14ac:dyDescent="0.3">
      <c r="A106" s="13" t="s">
        <v>218</v>
      </c>
      <c r="B106" s="13" t="s">
        <v>18</v>
      </c>
      <c r="C106" s="13" t="s">
        <v>18</v>
      </c>
      <c r="D106" s="14" t="s">
        <v>217</v>
      </c>
      <c r="E106" s="46">
        <f t="shared" si="16"/>
        <v>106575900</v>
      </c>
      <c r="F106" s="46">
        <f>F107+F108+F109+F110+F111+F112+F113+F114+F115+F116+F117+F118+F119+F120+F121</f>
        <v>41545678</v>
      </c>
      <c r="G106" s="46">
        <f>G107+G108+G109+G110+G111+G112+G113+G114+G115+G116+G117+G118+G119+G120+G121</f>
        <v>3038800</v>
      </c>
      <c r="H106" s="46"/>
      <c r="I106" s="46">
        <f>I107+I108+I109+I110+I111+I112+I113+I114+I115+I116+I117+I118+I119+I120+I121</f>
        <v>65030222</v>
      </c>
      <c r="J106" s="40">
        <f t="shared" si="19"/>
        <v>16024668.08</v>
      </c>
      <c r="K106" s="40">
        <f>K107+K108+K109+K110+K111+K112+K113+K114+K115+K116+K117+K118+K119+K120+K121</f>
        <v>11568604.699999999</v>
      </c>
      <c r="L106" s="46">
        <f>L107+L108+L109+L110+L111+L112+L113+L114+L115+L116+L117+L118+L119+L120+L121</f>
        <v>250000</v>
      </c>
      <c r="M106" s="40"/>
      <c r="N106" s="40"/>
      <c r="O106" s="40">
        <f>O107+O108+O109+O110+O111+O112+O113+O114+O115+O116+O117+O118+O119+O120+O121</f>
        <v>15774668.08</v>
      </c>
      <c r="P106" s="40">
        <f t="shared" si="17"/>
        <v>122600568.08</v>
      </c>
    </row>
    <row r="107" spans="1:16" ht="63" customHeight="1" x14ac:dyDescent="0.3">
      <c r="A107" s="15" t="s">
        <v>219</v>
      </c>
      <c r="B107" s="15" t="s">
        <v>80</v>
      </c>
      <c r="C107" s="15" t="s">
        <v>23</v>
      </c>
      <c r="D107" s="16" t="s">
        <v>81</v>
      </c>
      <c r="E107" s="47">
        <f t="shared" si="16"/>
        <v>3262600</v>
      </c>
      <c r="F107" s="47">
        <f>3682600-420000</f>
        <v>3262600</v>
      </c>
      <c r="G107" s="47">
        <f>2835000+623800-420000</f>
        <v>3038800</v>
      </c>
      <c r="H107" s="47"/>
      <c r="I107" s="47"/>
      <c r="J107" s="36"/>
      <c r="K107" s="36"/>
      <c r="L107" s="36"/>
      <c r="M107" s="36"/>
      <c r="N107" s="36"/>
      <c r="O107" s="36"/>
      <c r="P107" s="47">
        <f t="shared" si="17"/>
        <v>3262600</v>
      </c>
    </row>
    <row r="108" spans="1:16" ht="46.8" x14ac:dyDescent="0.3">
      <c r="A108" s="15" t="s">
        <v>220</v>
      </c>
      <c r="B108" s="15" t="s">
        <v>26</v>
      </c>
      <c r="C108" s="15" t="s">
        <v>27</v>
      </c>
      <c r="D108" s="16" t="s">
        <v>28</v>
      </c>
      <c r="E108" s="47">
        <f t="shared" ref="E108:E146" si="20">F108+I108</f>
        <v>27600</v>
      </c>
      <c r="F108" s="47">
        <v>27600</v>
      </c>
      <c r="G108" s="47"/>
      <c r="H108" s="47"/>
      <c r="I108" s="47"/>
      <c r="J108" s="36"/>
      <c r="K108" s="36"/>
      <c r="L108" s="36"/>
      <c r="M108" s="36"/>
      <c r="N108" s="36"/>
      <c r="O108" s="36"/>
      <c r="P108" s="47">
        <f t="shared" ref="P108:P146" si="21">E108+J108</f>
        <v>27600</v>
      </c>
    </row>
    <row r="109" spans="1:16" ht="31.2" x14ac:dyDescent="0.3">
      <c r="A109" s="15" t="s">
        <v>221</v>
      </c>
      <c r="B109" s="15" t="s">
        <v>30</v>
      </c>
      <c r="C109" s="15" t="s">
        <v>31</v>
      </c>
      <c r="D109" s="16" t="s">
        <v>32</v>
      </c>
      <c r="E109" s="47">
        <f t="shared" si="20"/>
        <v>248000</v>
      </c>
      <c r="F109" s="47">
        <v>248000</v>
      </c>
      <c r="G109" s="47"/>
      <c r="H109" s="47"/>
      <c r="I109" s="47"/>
      <c r="J109" s="36"/>
      <c r="K109" s="36"/>
      <c r="L109" s="36"/>
      <c r="M109" s="36"/>
      <c r="N109" s="36"/>
      <c r="O109" s="36"/>
      <c r="P109" s="47">
        <f t="shared" si="21"/>
        <v>248000</v>
      </c>
    </row>
    <row r="110" spans="1:16" ht="31.2" x14ac:dyDescent="0.3">
      <c r="A110" s="15" t="s">
        <v>222</v>
      </c>
      <c r="B110" s="15" t="s">
        <v>223</v>
      </c>
      <c r="C110" s="15" t="s">
        <v>224</v>
      </c>
      <c r="D110" s="16" t="s">
        <v>225</v>
      </c>
      <c r="E110" s="47">
        <f t="shared" si="20"/>
        <v>21600</v>
      </c>
      <c r="F110" s="47">
        <v>21600</v>
      </c>
      <c r="G110" s="47"/>
      <c r="H110" s="47"/>
      <c r="I110" s="47"/>
      <c r="J110" s="36"/>
      <c r="K110" s="36"/>
      <c r="L110" s="36"/>
      <c r="M110" s="36"/>
      <c r="N110" s="36"/>
      <c r="O110" s="36"/>
      <c r="P110" s="47">
        <f t="shared" si="21"/>
        <v>21600</v>
      </c>
    </row>
    <row r="111" spans="1:16" s="33" customFormat="1" ht="31.2" x14ac:dyDescent="0.3">
      <c r="A111" s="35">
        <v>1216011</v>
      </c>
      <c r="B111" s="35">
        <v>6011</v>
      </c>
      <c r="C111" s="34">
        <v>610</v>
      </c>
      <c r="D111" s="32" t="s">
        <v>316</v>
      </c>
      <c r="E111" s="47"/>
      <c r="F111" s="47"/>
      <c r="G111" s="47"/>
      <c r="H111" s="47"/>
      <c r="I111" s="47"/>
      <c r="J111" s="36">
        <f t="shared" ref="J111:J122" si="22">L111+O111</f>
        <v>2770266.17</v>
      </c>
      <c r="K111" s="36">
        <v>2770266.17</v>
      </c>
      <c r="L111" s="36"/>
      <c r="M111" s="36"/>
      <c r="N111" s="36"/>
      <c r="O111" s="36">
        <v>2770266.17</v>
      </c>
      <c r="P111" s="36">
        <f t="shared" si="21"/>
        <v>2770266.17</v>
      </c>
    </row>
    <row r="112" spans="1:16" s="33" customFormat="1" ht="46.8" x14ac:dyDescent="0.3">
      <c r="A112" s="31" t="s">
        <v>226</v>
      </c>
      <c r="B112" s="31" t="s">
        <v>227</v>
      </c>
      <c r="C112" s="31" t="s">
        <v>55</v>
      </c>
      <c r="D112" s="32" t="s">
        <v>228</v>
      </c>
      <c r="E112" s="47">
        <f t="shared" si="20"/>
        <v>21700000</v>
      </c>
      <c r="F112" s="47"/>
      <c r="G112" s="47"/>
      <c r="H112" s="47"/>
      <c r="I112" s="47">
        <v>21700000</v>
      </c>
      <c r="J112" s="36"/>
      <c r="K112" s="36"/>
      <c r="L112" s="36"/>
      <c r="M112" s="36"/>
      <c r="N112" s="36"/>
      <c r="O112" s="36"/>
      <c r="P112" s="47">
        <f t="shared" si="21"/>
        <v>21700000</v>
      </c>
    </row>
    <row r="113" spans="1:16" s="33" customFormat="1" ht="31.2" x14ac:dyDescent="0.3">
      <c r="A113" s="35">
        <v>1216013</v>
      </c>
      <c r="B113" s="35">
        <v>6013</v>
      </c>
      <c r="C113" s="31" t="s">
        <v>55</v>
      </c>
      <c r="D113" s="32" t="s">
        <v>317</v>
      </c>
      <c r="E113" s="47"/>
      <c r="F113" s="47"/>
      <c r="G113" s="47"/>
      <c r="H113" s="47"/>
      <c r="I113" s="47"/>
      <c r="J113" s="47">
        <f t="shared" si="22"/>
        <v>299261</v>
      </c>
      <c r="K113" s="47">
        <f>233107.04+66153.96</f>
        <v>299261</v>
      </c>
      <c r="L113" s="47"/>
      <c r="M113" s="47"/>
      <c r="N113" s="47"/>
      <c r="O113" s="47">
        <f>233107.04+66153.96</f>
        <v>299261</v>
      </c>
      <c r="P113" s="47">
        <f t="shared" si="21"/>
        <v>299261</v>
      </c>
    </row>
    <row r="114" spans="1:16" ht="31.2" x14ac:dyDescent="0.3">
      <c r="A114" s="15" t="s">
        <v>229</v>
      </c>
      <c r="B114" s="15" t="s">
        <v>230</v>
      </c>
      <c r="C114" s="15" t="s">
        <v>55</v>
      </c>
      <c r="D114" s="16" t="s">
        <v>231</v>
      </c>
      <c r="E114" s="47">
        <f t="shared" si="20"/>
        <v>150000</v>
      </c>
      <c r="F114" s="47"/>
      <c r="G114" s="47"/>
      <c r="H114" s="47"/>
      <c r="I114" s="47">
        <v>150000</v>
      </c>
      <c r="J114" s="36">
        <f t="shared" si="22"/>
        <v>760685.48</v>
      </c>
      <c r="K114" s="36">
        <f>760685.48</f>
        <v>760685.48</v>
      </c>
      <c r="L114" s="36"/>
      <c r="M114" s="36"/>
      <c r="N114" s="36"/>
      <c r="O114" s="36">
        <f>760685.48</f>
        <v>760685.48</v>
      </c>
      <c r="P114" s="36">
        <f t="shared" si="21"/>
        <v>910685.48</v>
      </c>
    </row>
    <row r="115" spans="1:16" ht="46.8" x14ac:dyDescent="0.3">
      <c r="A115" s="15" t="s">
        <v>232</v>
      </c>
      <c r="B115" s="15" t="s">
        <v>233</v>
      </c>
      <c r="C115" s="15" t="s">
        <v>55</v>
      </c>
      <c r="D115" s="16" t="s">
        <v>234</v>
      </c>
      <c r="E115" s="47">
        <f t="shared" si="20"/>
        <v>859600</v>
      </c>
      <c r="F115" s="47"/>
      <c r="G115" s="47"/>
      <c r="H115" s="47"/>
      <c r="I115" s="47">
        <v>859600</v>
      </c>
      <c r="J115" s="36"/>
      <c r="K115" s="36"/>
      <c r="L115" s="36"/>
      <c r="M115" s="36"/>
      <c r="N115" s="36"/>
      <c r="O115" s="36"/>
      <c r="P115" s="47">
        <f t="shared" si="21"/>
        <v>859600</v>
      </c>
    </row>
    <row r="116" spans="1:16" ht="31.2" x14ac:dyDescent="0.3">
      <c r="A116" s="15" t="s">
        <v>235</v>
      </c>
      <c r="B116" s="15" t="s">
        <v>54</v>
      </c>
      <c r="C116" s="15" t="s">
        <v>55</v>
      </c>
      <c r="D116" s="16" t="s">
        <v>56</v>
      </c>
      <c r="E116" s="47">
        <f>F116+I116</f>
        <v>67001500</v>
      </c>
      <c r="F116" s="47">
        <f>24180878+500000</f>
        <v>24680878</v>
      </c>
      <c r="G116" s="47"/>
      <c r="H116" s="47"/>
      <c r="I116" s="47">
        <v>42320622</v>
      </c>
      <c r="J116" s="36">
        <f t="shared" si="22"/>
        <v>7225312.4300000006</v>
      </c>
      <c r="K116" s="36">
        <f>4200000+3015550.82+9761.61</f>
        <v>7225312.4300000006</v>
      </c>
      <c r="L116" s="36"/>
      <c r="M116" s="36"/>
      <c r="N116" s="36"/>
      <c r="O116" s="36">
        <f>4200000+3015550.82+9761.61</f>
        <v>7225312.4300000006</v>
      </c>
      <c r="P116" s="36">
        <f t="shared" si="21"/>
        <v>74226812.430000007</v>
      </c>
    </row>
    <row r="117" spans="1:16" ht="46.8" x14ac:dyDescent="0.3">
      <c r="A117" s="25">
        <v>1217370</v>
      </c>
      <c r="B117" s="25">
        <v>7370</v>
      </c>
      <c r="C117" s="25" t="s">
        <v>63</v>
      </c>
      <c r="D117" s="16" t="s">
        <v>318</v>
      </c>
      <c r="E117" s="47"/>
      <c r="F117" s="47"/>
      <c r="G117" s="47"/>
      <c r="H117" s="47"/>
      <c r="I117" s="47"/>
      <c r="J117" s="47">
        <f t="shared" si="22"/>
        <v>489000</v>
      </c>
      <c r="K117" s="47">
        <f>489000</f>
        <v>489000</v>
      </c>
      <c r="L117" s="47"/>
      <c r="M117" s="47"/>
      <c r="N117" s="47"/>
      <c r="O117" s="47">
        <f>489000</f>
        <v>489000</v>
      </c>
      <c r="P117" s="47">
        <f t="shared" si="21"/>
        <v>489000</v>
      </c>
    </row>
    <row r="118" spans="1:16" ht="46.8" x14ac:dyDescent="0.3">
      <c r="A118" s="15" t="s">
        <v>236</v>
      </c>
      <c r="B118" s="15" t="s">
        <v>237</v>
      </c>
      <c r="C118" s="15" t="s">
        <v>238</v>
      </c>
      <c r="D118" s="16" t="s">
        <v>239</v>
      </c>
      <c r="E118" s="47">
        <f t="shared" si="20"/>
        <v>13305000</v>
      </c>
      <c r="F118" s="47">
        <v>13305000</v>
      </c>
      <c r="G118" s="47"/>
      <c r="H118" s="47"/>
      <c r="I118" s="47"/>
      <c r="J118" s="47"/>
      <c r="K118" s="47"/>
      <c r="L118" s="47"/>
      <c r="M118" s="47"/>
      <c r="N118" s="47"/>
      <c r="O118" s="47"/>
      <c r="P118" s="47">
        <f t="shared" si="21"/>
        <v>13305000</v>
      </c>
    </row>
    <row r="119" spans="1:16" x14ac:dyDescent="0.3">
      <c r="A119" s="24">
        <v>1217640</v>
      </c>
      <c r="B119" s="24">
        <v>7640</v>
      </c>
      <c r="C119" s="25" t="s">
        <v>59</v>
      </c>
      <c r="D119" s="16" t="s">
        <v>60</v>
      </c>
      <c r="E119" s="47"/>
      <c r="F119" s="47"/>
      <c r="G119" s="47"/>
      <c r="H119" s="47"/>
      <c r="I119" s="47"/>
      <c r="J119" s="36">
        <f t="shared" si="22"/>
        <v>24079.62</v>
      </c>
      <c r="K119" s="36">
        <v>24079.62</v>
      </c>
      <c r="L119" s="36"/>
      <c r="M119" s="36"/>
      <c r="N119" s="36"/>
      <c r="O119" s="36">
        <v>24079.62</v>
      </c>
      <c r="P119" s="36">
        <f t="shared" si="21"/>
        <v>24079.62</v>
      </c>
    </row>
    <row r="120" spans="1:16" ht="140.4" x14ac:dyDescent="0.3">
      <c r="A120" s="24">
        <v>1217691</v>
      </c>
      <c r="B120" s="24">
        <v>7691</v>
      </c>
      <c r="C120" s="25" t="s">
        <v>63</v>
      </c>
      <c r="D120" s="16" t="s">
        <v>319</v>
      </c>
      <c r="E120" s="47"/>
      <c r="F120" s="47"/>
      <c r="G120" s="47"/>
      <c r="H120" s="47"/>
      <c r="I120" s="47"/>
      <c r="J120" s="36">
        <f t="shared" si="22"/>
        <v>3229312.91</v>
      </c>
      <c r="K120" s="36"/>
      <c r="L120" s="36"/>
      <c r="M120" s="36"/>
      <c r="N120" s="36"/>
      <c r="O120" s="36">
        <f>729312.91+2500000</f>
        <v>3229312.91</v>
      </c>
      <c r="P120" s="36">
        <f t="shared" si="21"/>
        <v>3229312.91</v>
      </c>
    </row>
    <row r="121" spans="1:16" ht="31.2" x14ac:dyDescent="0.3">
      <c r="A121" s="15" t="s">
        <v>240</v>
      </c>
      <c r="B121" s="15" t="s">
        <v>73</v>
      </c>
      <c r="C121" s="15" t="s">
        <v>74</v>
      </c>
      <c r="D121" s="16" t="s">
        <v>75</v>
      </c>
      <c r="E121" s="47"/>
      <c r="F121" s="47"/>
      <c r="G121" s="47"/>
      <c r="H121" s="47"/>
      <c r="I121" s="47"/>
      <c r="J121" s="36">
        <f t="shared" si="22"/>
        <v>1226750.47</v>
      </c>
      <c r="K121" s="36"/>
      <c r="L121" s="47">
        <v>250000</v>
      </c>
      <c r="M121" s="36"/>
      <c r="N121" s="36"/>
      <c r="O121" s="36">
        <f>1000000+226750.47-250000</f>
        <v>976750.47</v>
      </c>
      <c r="P121" s="36">
        <f t="shared" si="21"/>
        <v>1226750.47</v>
      </c>
    </row>
    <row r="122" spans="1:16" ht="62.4" x14ac:dyDescent="0.3">
      <c r="A122" s="13" t="s">
        <v>241</v>
      </c>
      <c r="B122" s="13" t="s">
        <v>18</v>
      </c>
      <c r="C122" s="13" t="s">
        <v>18</v>
      </c>
      <c r="D122" s="14" t="s">
        <v>242</v>
      </c>
      <c r="E122" s="46">
        <f t="shared" si="20"/>
        <v>5730000</v>
      </c>
      <c r="F122" s="46">
        <f>F123</f>
        <v>5730000</v>
      </c>
      <c r="G122" s="46">
        <f>G123</f>
        <v>3188600</v>
      </c>
      <c r="H122" s="46"/>
      <c r="I122" s="46"/>
      <c r="J122" s="40">
        <f t="shared" si="22"/>
        <v>52182472.259999998</v>
      </c>
      <c r="K122" s="40">
        <f>K123</f>
        <v>47621750.519999996</v>
      </c>
      <c r="L122" s="40"/>
      <c r="M122" s="40"/>
      <c r="N122" s="40"/>
      <c r="O122" s="40">
        <f>O123</f>
        <v>52182472.259999998</v>
      </c>
      <c r="P122" s="40">
        <f t="shared" si="21"/>
        <v>57912472.259999998</v>
      </c>
    </row>
    <row r="123" spans="1:16" ht="62.4" x14ac:dyDescent="0.3">
      <c r="A123" s="13" t="s">
        <v>243</v>
      </c>
      <c r="B123" s="13" t="s">
        <v>18</v>
      </c>
      <c r="C123" s="13" t="s">
        <v>18</v>
      </c>
      <c r="D123" s="14" t="s">
        <v>242</v>
      </c>
      <c r="E123" s="46">
        <f t="shared" si="20"/>
        <v>5730000</v>
      </c>
      <c r="F123" s="46">
        <f>F124+F125+F126+F127+F128+F129+F130+F131+F132+F133+F134+F135+F136+F137+F138+F139</f>
        <v>5730000</v>
      </c>
      <c r="G123" s="46">
        <f t="shared" ref="G123:P123" si="23">G124+G125+G126+G127+G128+G129+G130+G131+G132+G133+G134+G135+G136+G137+G138+G139</f>
        <v>3188600</v>
      </c>
      <c r="H123" s="46"/>
      <c r="I123" s="46"/>
      <c r="J123" s="40">
        <f>L123+O123</f>
        <v>52182472.259999998</v>
      </c>
      <c r="K123" s="40">
        <f t="shared" si="23"/>
        <v>47621750.519999996</v>
      </c>
      <c r="L123" s="40"/>
      <c r="M123" s="40"/>
      <c r="N123" s="40"/>
      <c r="O123" s="40">
        <f t="shared" si="23"/>
        <v>52182472.259999998</v>
      </c>
      <c r="P123" s="40">
        <f t="shared" si="23"/>
        <v>57912472.259999998</v>
      </c>
    </row>
    <row r="124" spans="1:16" ht="93.6" x14ac:dyDescent="0.3">
      <c r="A124" s="28" t="s">
        <v>334</v>
      </c>
      <c r="B124" s="28" t="s">
        <v>22</v>
      </c>
      <c r="C124" s="28" t="s">
        <v>23</v>
      </c>
      <c r="D124" s="29" t="s">
        <v>24</v>
      </c>
      <c r="E124" s="46"/>
      <c r="F124" s="46"/>
      <c r="G124" s="46"/>
      <c r="H124" s="46"/>
      <c r="I124" s="46"/>
      <c r="J124" s="36">
        <f>L124+O124</f>
        <v>9368.42</v>
      </c>
      <c r="K124" s="36">
        <v>9368.42</v>
      </c>
      <c r="L124" s="36"/>
      <c r="M124" s="36"/>
      <c r="N124" s="36"/>
      <c r="O124" s="36">
        <v>9368.42</v>
      </c>
      <c r="P124" s="36">
        <f>E124+J124</f>
        <v>9368.42</v>
      </c>
    </row>
    <row r="125" spans="1:16" ht="61.2" customHeight="1" x14ac:dyDescent="0.3">
      <c r="A125" s="15" t="s">
        <v>244</v>
      </c>
      <c r="B125" s="15" t="s">
        <v>80</v>
      </c>
      <c r="C125" s="15" t="s">
        <v>23</v>
      </c>
      <c r="D125" s="16" t="s">
        <v>81</v>
      </c>
      <c r="E125" s="47">
        <f t="shared" si="20"/>
        <v>3291000</v>
      </c>
      <c r="F125" s="47">
        <f>2719000+572000</f>
        <v>3291000</v>
      </c>
      <c r="G125" s="47">
        <f>2144700+471900+572000</f>
        <v>3188600</v>
      </c>
      <c r="H125" s="47"/>
      <c r="I125" s="47"/>
      <c r="J125" s="36"/>
      <c r="K125" s="36"/>
      <c r="L125" s="36"/>
      <c r="M125" s="36"/>
      <c r="N125" s="36"/>
      <c r="O125" s="36"/>
      <c r="P125" s="47">
        <f t="shared" si="21"/>
        <v>3291000</v>
      </c>
    </row>
    <row r="126" spans="1:16" ht="31.2" x14ac:dyDescent="0.3">
      <c r="A126" s="15" t="s">
        <v>245</v>
      </c>
      <c r="B126" s="15" t="s">
        <v>30</v>
      </c>
      <c r="C126" s="15" t="s">
        <v>31</v>
      </c>
      <c r="D126" s="16" t="s">
        <v>32</v>
      </c>
      <c r="E126" s="47">
        <f t="shared" si="20"/>
        <v>219000</v>
      </c>
      <c r="F126" s="47">
        <v>219000</v>
      </c>
      <c r="G126" s="47"/>
      <c r="H126" s="47"/>
      <c r="I126" s="47"/>
      <c r="J126" s="36"/>
      <c r="K126" s="36"/>
      <c r="L126" s="36"/>
      <c r="M126" s="36"/>
      <c r="N126" s="36"/>
      <c r="O126" s="36"/>
      <c r="P126" s="47">
        <f t="shared" si="21"/>
        <v>219000</v>
      </c>
    </row>
    <row r="127" spans="1:16" ht="49.95" customHeight="1" x14ac:dyDescent="0.3">
      <c r="A127" s="24">
        <v>1512010</v>
      </c>
      <c r="B127" s="24">
        <v>2010</v>
      </c>
      <c r="C127" s="25" t="s">
        <v>35</v>
      </c>
      <c r="D127" s="16" t="s">
        <v>36</v>
      </c>
      <c r="E127" s="46"/>
      <c r="F127" s="46"/>
      <c r="G127" s="46"/>
      <c r="H127" s="46"/>
      <c r="I127" s="46"/>
      <c r="J127" s="36">
        <f>L127+O127</f>
        <v>8834321.1600000001</v>
      </c>
      <c r="K127" s="36">
        <v>8834321.1600000001</v>
      </c>
      <c r="L127" s="36"/>
      <c r="M127" s="36"/>
      <c r="N127" s="36"/>
      <c r="O127" s="36">
        <v>8834321.1600000001</v>
      </c>
      <c r="P127" s="36">
        <f>E127+J127</f>
        <v>8834321.1600000001</v>
      </c>
    </row>
    <row r="128" spans="1:16" ht="31.2" x14ac:dyDescent="0.3">
      <c r="A128" s="24">
        <v>1516011</v>
      </c>
      <c r="B128" s="24">
        <v>6011</v>
      </c>
      <c r="C128" s="24">
        <v>610</v>
      </c>
      <c r="D128" s="16" t="s">
        <v>316</v>
      </c>
      <c r="E128" s="47"/>
      <c r="F128" s="47"/>
      <c r="G128" s="47"/>
      <c r="H128" s="47"/>
      <c r="I128" s="47"/>
      <c r="J128" s="36">
        <f t="shared" ref="J128:J139" si="24">L128+O128</f>
        <v>7050377.7999999998</v>
      </c>
      <c r="K128" s="36">
        <f>7024171.8+26206</f>
        <v>7050377.7999999998</v>
      </c>
      <c r="L128" s="36"/>
      <c r="M128" s="36"/>
      <c r="N128" s="36"/>
      <c r="O128" s="36">
        <f>7024171.8+26206</f>
        <v>7050377.7999999998</v>
      </c>
      <c r="P128" s="36">
        <f t="shared" ref="P128:P139" si="25">E128+J128</f>
        <v>7050377.7999999998</v>
      </c>
    </row>
    <row r="129" spans="1:16" ht="31.2" x14ac:dyDescent="0.3">
      <c r="A129" s="24">
        <v>1516013</v>
      </c>
      <c r="B129" s="24">
        <v>6013</v>
      </c>
      <c r="C129" s="26" t="s">
        <v>55</v>
      </c>
      <c r="D129" s="16" t="s">
        <v>317</v>
      </c>
      <c r="E129" s="47"/>
      <c r="F129" s="47"/>
      <c r="G129" s="47"/>
      <c r="H129" s="47"/>
      <c r="I129" s="47"/>
      <c r="J129" s="47">
        <f t="shared" si="24"/>
        <v>50000</v>
      </c>
      <c r="K129" s="47">
        <v>50000</v>
      </c>
      <c r="L129" s="47"/>
      <c r="M129" s="47"/>
      <c r="N129" s="47"/>
      <c r="O129" s="47">
        <v>50000</v>
      </c>
      <c r="P129" s="47">
        <f t="shared" si="25"/>
        <v>50000</v>
      </c>
    </row>
    <row r="130" spans="1:16" ht="31.2" x14ac:dyDescent="0.3">
      <c r="A130" s="24">
        <v>1516015</v>
      </c>
      <c r="B130" s="15" t="s">
        <v>230</v>
      </c>
      <c r="C130" s="15" t="s">
        <v>55</v>
      </c>
      <c r="D130" s="16" t="s">
        <v>231</v>
      </c>
      <c r="E130" s="47"/>
      <c r="F130" s="47"/>
      <c r="G130" s="47"/>
      <c r="H130" s="47"/>
      <c r="I130" s="47"/>
      <c r="J130" s="36">
        <f t="shared" si="24"/>
        <v>2200038.56</v>
      </c>
      <c r="K130" s="36">
        <f>1100019.28+1100019.28</f>
        <v>2200038.56</v>
      </c>
      <c r="L130" s="36"/>
      <c r="M130" s="36"/>
      <c r="N130" s="36"/>
      <c r="O130" s="36">
        <v>2200038.56</v>
      </c>
      <c r="P130" s="36">
        <f t="shared" si="25"/>
        <v>2200038.56</v>
      </c>
    </row>
    <row r="131" spans="1:16" ht="31.2" x14ac:dyDescent="0.3">
      <c r="A131" s="24">
        <v>1516030</v>
      </c>
      <c r="B131" s="24">
        <v>6030</v>
      </c>
      <c r="C131" s="15" t="s">
        <v>55</v>
      </c>
      <c r="D131" s="16" t="s">
        <v>56</v>
      </c>
      <c r="E131" s="47"/>
      <c r="F131" s="47"/>
      <c r="G131" s="47"/>
      <c r="H131" s="47"/>
      <c r="I131" s="47"/>
      <c r="J131" s="36">
        <f t="shared" si="24"/>
        <v>6061951.1600000001</v>
      </c>
      <c r="K131" s="36">
        <f>5817662.94+179068.22+65220</f>
        <v>6061951.1600000001</v>
      </c>
      <c r="L131" s="36"/>
      <c r="M131" s="36"/>
      <c r="N131" s="36"/>
      <c r="O131" s="36">
        <f>5817662.94+179068.22+65220</f>
        <v>6061951.1600000001</v>
      </c>
      <c r="P131" s="36">
        <f t="shared" si="25"/>
        <v>6061951.1600000001</v>
      </c>
    </row>
    <row r="132" spans="1:16" ht="31.2" x14ac:dyDescent="0.3">
      <c r="A132" s="24">
        <v>1517310</v>
      </c>
      <c r="B132" s="24">
        <v>7310</v>
      </c>
      <c r="C132" s="26" t="s">
        <v>320</v>
      </c>
      <c r="D132" s="16" t="s">
        <v>321</v>
      </c>
      <c r="E132" s="47"/>
      <c r="F132" s="47"/>
      <c r="G132" s="47"/>
      <c r="H132" s="47"/>
      <c r="I132" s="47"/>
      <c r="J132" s="47">
        <f t="shared" si="24"/>
        <v>350000</v>
      </c>
      <c r="K132" s="47">
        <v>350000</v>
      </c>
      <c r="L132" s="47"/>
      <c r="M132" s="47"/>
      <c r="N132" s="47"/>
      <c r="O132" s="47">
        <v>350000</v>
      </c>
      <c r="P132" s="47">
        <f t="shared" si="25"/>
        <v>350000</v>
      </c>
    </row>
    <row r="133" spans="1:16" ht="31.2" x14ac:dyDescent="0.3">
      <c r="A133" s="24">
        <v>1517321</v>
      </c>
      <c r="B133" s="24">
        <v>7321</v>
      </c>
      <c r="C133" s="26" t="s">
        <v>320</v>
      </c>
      <c r="D133" s="16" t="s">
        <v>323</v>
      </c>
      <c r="E133" s="47"/>
      <c r="F133" s="47"/>
      <c r="G133" s="47"/>
      <c r="H133" s="47"/>
      <c r="I133" s="47"/>
      <c r="J133" s="36">
        <f t="shared" si="24"/>
        <v>7177841.5800000001</v>
      </c>
      <c r="K133" s="36">
        <f>77841.58+7100000</f>
        <v>7177841.5800000001</v>
      </c>
      <c r="L133" s="36"/>
      <c r="M133" s="36"/>
      <c r="N133" s="36"/>
      <c r="O133" s="36">
        <f>77841.58+7100000</f>
        <v>7177841.5800000001</v>
      </c>
      <c r="P133" s="36">
        <f t="shared" si="25"/>
        <v>7177841.5800000001</v>
      </c>
    </row>
    <row r="134" spans="1:16" ht="31.2" x14ac:dyDescent="0.3">
      <c r="A134" s="24">
        <v>1517330</v>
      </c>
      <c r="B134" s="24">
        <v>7330</v>
      </c>
      <c r="C134" s="26" t="s">
        <v>320</v>
      </c>
      <c r="D134" s="16" t="s">
        <v>322</v>
      </c>
      <c r="E134" s="47"/>
      <c r="F134" s="47"/>
      <c r="G134" s="47"/>
      <c r="H134" s="47"/>
      <c r="I134" s="47"/>
      <c r="J134" s="36">
        <f t="shared" si="24"/>
        <v>2310376.9300000002</v>
      </c>
      <c r="K134" s="36">
        <v>2310376.9300000002</v>
      </c>
      <c r="L134" s="36"/>
      <c r="M134" s="36"/>
      <c r="N134" s="36"/>
      <c r="O134" s="36">
        <v>2310376.9300000002</v>
      </c>
      <c r="P134" s="36">
        <f t="shared" si="25"/>
        <v>2310376.9300000002</v>
      </c>
    </row>
    <row r="135" spans="1:16" ht="46.8" x14ac:dyDescent="0.3">
      <c r="A135" s="24">
        <v>1517370</v>
      </c>
      <c r="B135" s="24">
        <v>7370</v>
      </c>
      <c r="C135" s="26" t="s">
        <v>63</v>
      </c>
      <c r="D135" s="16" t="s">
        <v>318</v>
      </c>
      <c r="E135" s="47">
        <f t="shared" ref="E135" si="26">F135+I135</f>
        <v>2220000</v>
      </c>
      <c r="F135" s="47">
        <v>2220000</v>
      </c>
      <c r="G135" s="47"/>
      <c r="H135" s="47"/>
      <c r="I135" s="47"/>
      <c r="J135" s="36">
        <f t="shared" si="24"/>
        <v>10495058.050000001</v>
      </c>
      <c r="K135" s="36">
        <v>10495058.050000001</v>
      </c>
      <c r="L135" s="36"/>
      <c r="M135" s="36"/>
      <c r="N135" s="36"/>
      <c r="O135" s="36">
        <v>10495058.050000001</v>
      </c>
      <c r="P135" s="36">
        <f t="shared" si="25"/>
        <v>12715058.050000001</v>
      </c>
    </row>
    <row r="136" spans="1:16" ht="31.2" x14ac:dyDescent="0.3">
      <c r="A136" s="24">
        <v>1517390</v>
      </c>
      <c r="B136" s="24">
        <v>7390</v>
      </c>
      <c r="C136" s="26" t="s">
        <v>63</v>
      </c>
      <c r="D136" s="16" t="s">
        <v>324</v>
      </c>
      <c r="E136" s="47"/>
      <c r="F136" s="47"/>
      <c r="G136" s="47"/>
      <c r="H136" s="47"/>
      <c r="I136" s="47"/>
      <c r="J136" s="47">
        <f t="shared" si="24"/>
        <v>1189432</v>
      </c>
      <c r="K136" s="47">
        <v>1189432</v>
      </c>
      <c r="L136" s="47"/>
      <c r="M136" s="47"/>
      <c r="N136" s="47"/>
      <c r="O136" s="47">
        <v>1189432</v>
      </c>
      <c r="P136" s="47">
        <f t="shared" si="25"/>
        <v>1189432</v>
      </c>
    </row>
    <row r="137" spans="1:16" x14ac:dyDescent="0.3">
      <c r="A137" s="24">
        <v>1517640</v>
      </c>
      <c r="B137" s="24">
        <v>7640</v>
      </c>
      <c r="C137" s="26" t="s">
        <v>59</v>
      </c>
      <c r="D137" s="16" t="s">
        <v>60</v>
      </c>
      <c r="E137" s="47"/>
      <c r="F137" s="47"/>
      <c r="G137" s="47"/>
      <c r="H137" s="47"/>
      <c r="I137" s="47"/>
      <c r="J137" s="36">
        <f t="shared" si="24"/>
        <v>1892984.86</v>
      </c>
      <c r="K137" s="36">
        <v>1892984.86</v>
      </c>
      <c r="L137" s="36"/>
      <c r="M137" s="36"/>
      <c r="N137" s="36"/>
      <c r="O137" s="36">
        <v>1892984.86</v>
      </c>
      <c r="P137" s="36">
        <f t="shared" si="25"/>
        <v>1892984.86</v>
      </c>
    </row>
    <row r="138" spans="1:16" ht="140.4" x14ac:dyDescent="0.3">
      <c r="A138" s="24">
        <v>1517691</v>
      </c>
      <c r="B138" s="24">
        <v>7691</v>
      </c>
      <c r="C138" s="25" t="s">
        <v>63</v>
      </c>
      <c r="D138" s="16" t="s">
        <v>325</v>
      </c>
      <c r="E138" s="47"/>
      <c r="F138" s="47"/>
      <c r="G138" s="47"/>
      <c r="H138" s="47"/>
      <c r="I138" s="47"/>
      <c r="J138" s="47">
        <f t="shared" si="24"/>
        <v>4358135</v>
      </c>
      <c r="K138" s="47"/>
      <c r="L138" s="47"/>
      <c r="M138" s="47"/>
      <c r="N138" s="47"/>
      <c r="O138" s="47">
        <v>4358135</v>
      </c>
      <c r="P138" s="47">
        <f t="shared" si="25"/>
        <v>4358135</v>
      </c>
    </row>
    <row r="139" spans="1:16" ht="31.2" x14ac:dyDescent="0.3">
      <c r="A139" s="24">
        <v>1518340</v>
      </c>
      <c r="B139" s="15" t="s">
        <v>73</v>
      </c>
      <c r="C139" s="15" t="s">
        <v>74</v>
      </c>
      <c r="D139" s="16" t="s">
        <v>75</v>
      </c>
      <c r="E139" s="47"/>
      <c r="F139" s="47"/>
      <c r="G139" s="47"/>
      <c r="H139" s="47"/>
      <c r="I139" s="47"/>
      <c r="J139" s="36">
        <f t="shared" si="24"/>
        <v>202586.74</v>
      </c>
      <c r="K139" s="36"/>
      <c r="L139" s="36"/>
      <c r="M139" s="36"/>
      <c r="N139" s="36"/>
      <c r="O139" s="36">
        <v>202586.74</v>
      </c>
      <c r="P139" s="36">
        <f t="shared" si="25"/>
        <v>202586.74</v>
      </c>
    </row>
    <row r="140" spans="1:16" ht="62.4" x14ac:dyDescent="0.3">
      <c r="A140" s="13" t="s">
        <v>246</v>
      </c>
      <c r="B140" s="13" t="s">
        <v>18</v>
      </c>
      <c r="C140" s="13" t="s">
        <v>18</v>
      </c>
      <c r="D140" s="14" t="s">
        <v>247</v>
      </c>
      <c r="E140" s="46">
        <f t="shared" si="20"/>
        <v>16819500</v>
      </c>
      <c r="F140" s="46">
        <f>F141</f>
        <v>3751800</v>
      </c>
      <c r="G140" s="46">
        <f>G141</f>
        <v>3142600</v>
      </c>
      <c r="H140" s="46"/>
      <c r="I140" s="46">
        <f>I141</f>
        <v>13067700</v>
      </c>
      <c r="J140" s="40"/>
      <c r="K140" s="40"/>
      <c r="L140" s="40"/>
      <c r="M140" s="40"/>
      <c r="N140" s="40"/>
      <c r="O140" s="40"/>
      <c r="P140" s="46">
        <f t="shared" si="21"/>
        <v>16819500</v>
      </c>
    </row>
    <row r="141" spans="1:16" ht="62.4" x14ac:dyDescent="0.3">
      <c r="A141" s="13" t="s">
        <v>248</v>
      </c>
      <c r="B141" s="13" t="s">
        <v>18</v>
      </c>
      <c r="C141" s="13" t="s">
        <v>18</v>
      </c>
      <c r="D141" s="14" t="s">
        <v>247</v>
      </c>
      <c r="E141" s="46">
        <f t="shared" si="20"/>
        <v>16819500</v>
      </c>
      <c r="F141" s="46">
        <f>F142+F143+F144+F145+F146</f>
        <v>3751800</v>
      </c>
      <c r="G141" s="46">
        <f>G142+G143+G144+G145+G146</f>
        <v>3142600</v>
      </c>
      <c r="H141" s="46"/>
      <c r="I141" s="46">
        <f>I142+I143+I144+I145+I146</f>
        <v>13067700</v>
      </c>
      <c r="J141" s="40"/>
      <c r="K141" s="40"/>
      <c r="L141" s="40"/>
      <c r="M141" s="40"/>
      <c r="N141" s="40"/>
      <c r="O141" s="40"/>
      <c r="P141" s="46">
        <f t="shared" si="21"/>
        <v>16819500</v>
      </c>
    </row>
    <row r="142" spans="1:16" ht="64.95" customHeight="1" x14ac:dyDescent="0.3">
      <c r="A142" s="15" t="s">
        <v>249</v>
      </c>
      <c r="B142" s="15" t="s">
        <v>80</v>
      </c>
      <c r="C142" s="15" t="s">
        <v>23</v>
      </c>
      <c r="D142" s="16" t="s">
        <v>81</v>
      </c>
      <c r="E142" s="47">
        <f t="shared" si="20"/>
        <v>3222800</v>
      </c>
      <c r="F142" s="47">
        <f>2998300+224500</f>
        <v>3222800</v>
      </c>
      <c r="G142" s="47">
        <f>2391900+526200+224500</f>
        <v>3142600</v>
      </c>
      <c r="H142" s="47"/>
      <c r="I142" s="47"/>
      <c r="J142" s="36"/>
      <c r="K142" s="36"/>
      <c r="L142" s="36"/>
      <c r="M142" s="36"/>
      <c r="N142" s="36"/>
      <c r="O142" s="36"/>
      <c r="P142" s="47">
        <f t="shared" si="21"/>
        <v>3222800</v>
      </c>
    </row>
    <row r="143" spans="1:16" ht="31.2" x14ac:dyDescent="0.3">
      <c r="A143" s="15" t="s">
        <v>250</v>
      </c>
      <c r="B143" s="15" t="s">
        <v>30</v>
      </c>
      <c r="C143" s="15" t="s">
        <v>31</v>
      </c>
      <c r="D143" s="16" t="s">
        <v>32</v>
      </c>
      <c r="E143" s="47">
        <f t="shared" si="20"/>
        <v>269000</v>
      </c>
      <c r="F143" s="47">
        <v>269000</v>
      </c>
      <c r="G143" s="47"/>
      <c r="H143" s="47"/>
      <c r="I143" s="47"/>
      <c r="J143" s="36"/>
      <c r="K143" s="36"/>
      <c r="L143" s="36"/>
      <c r="M143" s="36"/>
      <c r="N143" s="36"/>
      <c r="O143" s="36"/>
      <c r="P143" s="47">
        <f t="shared" si="21"/>
        <v>269000</v>
      </c>
    </row>
    <row r="144" spans="1:16" ht="46.8" x14ac:dyDescent="0.3">
      <c r="A144" s="15" t="s">
        <v>251</v>
      </c>
      <c r="B144" s="15" t="s">
        <v>233</v>
      </c>
      <c r="C144" s="15" t="s">
        <v>55</v>
      </c>
      <c r="D144" s="16" t="s">
        <v>234</v>
      </c>
      <c r="E144" s="47">
        <f t="shared" si="20"/>
        <v>60000</v>
      </c>
      <c r="F144" s="47">
        <v>60000</v>
      </c>
      <c r="G144" s="47"/>
      <c r="H144" s="47"/>
      <c r="I144" s="47"/>
      <c r="J144" s="36"/>
      <c r="K144" s="36"/>
      <c r="L144" s="36"/>
      <c r="M144" s="36"/>
      <c r="N144" s="36"/>
      <c r="O144" s="36"/>
      <c r="P144" s="47">
        <f t="shared" si="21"/>
        <v>60000</v>
      </c>
    </row>
    <row r="145" spans="1:16" x14ac:dyDescent="0.3">
      <c r="A145" s="15" t="s">
        <v>252</v>
      </c>
      <c r="B145" s="15" t="s">
        <v>253</v>
      </c>
      <c r="C145" s="15" t="s">
        <v>254</v>
      </c>
      <c r="D145" s="16" t="s">
        <v>255</v>
      </c>
      <c r="E145" s="47">
        <f t="shared" si="20"/>
        <v>200000</v>
      </c>
      <c r="F145" s="47">
        <v>200000</v>
      </c>
      <c r="G145" s="47"/>
      <c r="H145" s="47"/>
      <c r="I145" s="47"/>
      <c r="J145" s="36"/>
      <c r="K145" s="36"/>
      <c r="L145" s="36"/>
      <c r="M145" s="36"/>
      <c r="N145" s="36"/>
      <c r="O145" s="36"/>
      <c r="P145" s="47">
        <f t="shared" si="21"/>
        <v>200000</v>
      </c>
    </row>
    <row r="146" spans="1:16" ht="31.2" x14ac:dyDescent="0.3">
      <c r="A146" s="15" t="s">
        <v>256</v>
      </c>
      <c r="B146" s="15" t="s">
        <v>257</v>
      </c>
      <c r="C146" s="15" t="s">
        <v>63</v>
      </c>
      <c r="D146" s="16" t="s">
        <v>258</v>
      </c>
      <c r="E146" s="47">
        <f t="shared" si="20"/>
        <v>13067700</v>
      </c>
      <c r="F146" s="47"/>
      <c r="G146" s="47"/>
      <c r="H146" s="47"/>
      <c r="I146" s="47">
        <v>13067700</v>
      </c>
      <c r="J146" s="36"/>
      <c r="K146" s="36"/>
      <c r="L146" s="36"/>
      <c r="M146" s="36"/>
      <c r="N146" s="36"/>
      <c r="O146" s="36"/>
      <c r="P146" s="47">
        <f t="shared" si="21"/>
        <v>13067700</v>
      </c>
    </row>
    <row r="147" spans="1:16" ht="46.8" x14ac:dyDescent="0.3">
      <c r="A147" s="13" t="s">
        <v>259</v>
      </c>
      <c r="B147" s="13" t="s">
        <v>18</v>
      </c>
      <c r="C147" s="13" t="s">
        <v>18</v>
      </c>
      <c r="D147" s="14" t="s">
        <v>260</v>
      </c>
      <c r="E147" s="46">
        <f>E148</f>
        <v>95952000</v>
      </c>
      <c r="F147" s="46">
        <f>F148</f>
        <v>91157000</v>
      </c>
      <c r="G147" s="46">
        <f>G148</f>
        <v>4148400</v>
      </c>
      <c r="H147" s="46"/>
      <c r="I147" s="46"/>
      <c r="J147" s="46">
        <f>L147+O147</f>
        <v>1400000</v>
      </c>
      <c r="K147" s="46">
        <f>K148</f>
        <v>1400000</v>
      </c>
      <c r="L147" s="46"/>
      <c r="M147" s="46"/>
      <c r="N147" s="46"/>
      <c r="O147" s="46">
        <f>O148</f>
        <v>1400000</v>
      </c>
      <c r="P147" s="46">
        <f>E147+J147</f>
        <v>97352000</v>
      </c>
    </row>
    <row r="148" spans="1:16" ht="46.8" x14ac:dyDescent="0.3">
      <c r="A148" s="13" t="s">
        <v>261</v>
      </c>
      <c r="B148" s="13" t="s">
        <v>18</v>
      </c>
      <c r="C148" s="13" t="s">
        <v>18</v>
      </c>
      <c r="D148" s="14" t="s">
        <v>260</v>
      </c>
      <c r="E148" s="46">
        <f>E149+E150+E154+E155+E156+E159</f>
        <v>95952000</v>
      </c>
      <c r="F148" s="46">
        <f>F149+F150+F154+F155+F156+F159</f>
        <v>91157000</v>
      </c>
      <c r="G148" s="46">
        <f>G149+G150+G154+G155</f>
        <v>4148400</v>
      </c>
      <c r="H148" s="46"/>
      <c r="I148" s="46"/>
      <c r="J148" s="46">
        <f>L148+O148</f>
        <v>1400000</v>
      </c>
      <c r="K148" s="46">
        <f>K149+K150+K154+K155</f>
        <v>1400000</v>
      </c>
      <c r="L148" s="46"/>
      <c r="M148" s="46"/>
      <c r="N148" s="46"/>
      <c r="O148" s="46">
        <f>O149+O150+O154+O155</f>
        <v>1400000</v>
      </c>
      <c r="P148" s="46">
        <f>E148+J148</f>
        <v>97352000</v>
      </c>
    </row>
    <row r="149" spans="1:16" ht="64.2" customHeight="1" x14ac:dyDescent="0.3">
      <c r="A149" s="15" t="s">
        <v>262</v>
      </c>
      <c r="B149" s="15" t="s">
        <v>80</v>
      </c>
      <c r="C149" s="15" t="s">
        <v>23</v>
      </c>
      <c r="D149" s="16" t="s">
        <v>81</v>
      </c>
      <c r="E149" s="47">
        <f>F149+I149</f>
        <v>4432200</v>
      </c>
      <c r="F149" s="47">
        <f>4143300+288900</f>
        <v>4432200</v>
      </c>
      <c r="G149" s="47">
        <f>3163500+696000+288900</f>
        <v>4148400</v>
      </c>
      <c r="H149" s="47"/>
      <c r="I149" s="47"/>
      <c r="J149" s="47"/>
      <c r="K149" s="47"/>
      <c r="L149" s="47"/>
      <c r="M149" s="47"/>
      <c r="N149" s="47"/>
      <c r="O149" s="47"/>
      <c r="P149" s="47">
        <f>E149+J149</f>
        <v>4432200</v>
      </c>
    </row>
    <row r="150" spans="1:16" ht="31.2" x14ac:dyDescent="0.3">
      <c r="A150" s="15" t="s">
        <v>263</v>
      </c>
      <c r="B150" s="15" t="s">
        <v>30</v>
      </c>
      <c r="C150" s="15" t="s">
        <v>31</v>
      </c>
      <c r="D150" s="16" t="s">
        <v>32</v>
      </c>
      <c r="E150" s="47">
        <f>F150+I150</f>
        <v>38517100</v>
      </c>
      <c r="F150" s="47">
        <f>F152+F153</f>
        <v>38517100</v>
      </c>
      <c r="G150" s="47"/>
      <c r="H150" s="47"/>
      <c r="I150" s="47"/>
      <c r="J150" s="47">
        <f t="shared" ref="J150" si="27">L150+O150</f>
        <v>1400000</v>
      </c>
      <c r="K150" s="47">
        <f>K153</f>
        <v>1400000</v>
      </c>
      <c r="L150" s="47"/>
      <c r="M150" s="47"/>
      <c r="N150" s="47"/>
      <c r="O150" s="47">
        <f>O153</f>
        <v>1400000</v>
      </c>
      <c r="P150" s="47">
        <f t="shared" ref="P150:P158" si="28">E150+J150</f>
        <v>39917100</v>
      </c>
    </row>
    <row r="151" spans="1:16" x14ac:dyDescent="0.3">
      <c r="A151" s="15"/>
      <c r="B151" s="15"/>
      <c r="C151" s="15"/>
      <c r="D151" s="16" t="s">
        <v>309</v>
      </c>
      <c r="E151" s="47"/>
      <c r="F151" s="47"/>
      <c r="G151" s="47"/>
      <c r="H151" s="47"/>
      <c r="I151" s="47"/>
      <c r="J151" s="36"/>
      <c r="K151" s="36"/>
      <c r="L151" s="36"/>
      <c r="M151" s="36"/>
      <c r="N151" s="36"/>
      <c r="O151" s="36"/>
      <c r="P151" s="36"/>
    </row>
    <row r="152" spans="1:16" s="19" customFormat="1" x14ac:dyDescent="0.3">
      <c r="A152" s="17"/>
      <c r="B152" s="17"/>
      <c r="C152" s="17"/>
      <c r="D152" s="18" t="s">
        <v>311</v>
      </c>
      <c r="E152" s="48">
        <f>F152+I152</f>
        <v>63000</v>
      </c>
      <c r="F152" s="48">
        <v>63000</v>
      </c>
      <c r="G152" s="48"/>
      <c r="H152" s="48"/>
      <c r="I152" s="48"/>
      <c r="J152" s="48"/>
      <c r="K152" s="48"/>
      <c r="L152" s="48"/>
      <c r="M152" s="48"/>
      <c r="N152" s="48"/>
      <c r="O152" s="48"/>
      <c r="P152" s="48">
        <f t="shared" si="28"/>
        <v>63000</v>
      </c>
    </row>
    <row r="153" spans="1:16" s="19" customFormat="1" x14ac:dyDescent="0.3">
      <c r="A153" s="17"/>
      <c r="B153" s="17"/>
      <c r="C153" s="17"/>
      <c r="D153" s="18" t="s">
        <v>310</v>
      </c>
      <c r="E153" s="48">
        <f>F153+I153</f>
        <v>38454100</v>
      </c>
      <c r="F153" s="48">
        <f>38954100-500000</f>
        <v>38454100</v>
      </c>
      <c r="G153" s="48"/>
      <c r="H153" s="48"/>
      <c r="I153" s="48"/>
      <c r="J153" s="48">
        <f>L153+O153</f>
        <v>1400000</v>
      </c>
      <c r="K153" s="48">
        <v>1400000</v>
      </c>
      <c r="L153" s="48"/>
      <c r="M153" s="48"/>
      <c r="N153" s="48"/>
      <c r="O153" s="48">
        <v>1400000</v>
      </c>
      <c r="P153" s="48">
        <f t="shared" si="28"/>
        <v>39854100</v>
      </c>
    </row>
    <row r="154" spans="1:16" x14ac:dyDescent="0.3">
      <c r="A154" s="15" t="s">
        <v>264</v>
      </c>
      <c r="B154" s="15" t="s">
        <v>265</v>
      </c>
      <c r="C154" s="15" t="s">
        <v>31</v>
      </c>
      <c r="D154" s="16" t="s">
        <v>266</v>
      </c>
      <c r="E154" s="47">
        <v>4795000</v>
      </c>
      <c r="F154" s="47"/>
      <c r="G154" s="47"/>
      <c r="H154" s="47"/>
      <c r="I154" s="47"/>
      <c r="J154" s="47"/>
      <c r="K154" s="47"/>
      <c r="L154" s="47"/>
      <c r="M154" s="47"/>
      <c r="N154" s="47"/>
      <c r="O154" s="47"/>
      <c r="P154" s="47">
        <f t="shared" si="28"/>
        <v>4795000</v>
      </c>
    </row>
    <row r="155" spans="1:16" x14ac:dyDescent="0.3">
      <c r="A155" s="15" t="s">
        <v>267</v>
      </c>
      <c r="B155" s="15" t="s">
        <v>268</v>
      </c>
      <c r="C155" s="15" t="s">
        <v>30</v>
      </c>
      <c r="D155" s="16" t="s">
        <v>269</v>
      </c>
      <c r="E155" s="47">
        <f>F155+I155</f>
        <v>46217700</v>
      </c>
      <c r="F155" s="47">
        <v>46217700</v>
      </c>
      <c r="G155" s="47"/>
      <c r="H155" s="47"/>
      <c r="I155" s="47"/>
      <c r="J155" s="47"/>
      <c r="K155" s="47"/>
      <c r="L155" s="47"/>
      <c r="M155" s="47"/>
      <c r="N155" s="47"/>
      <c r="O155" s="47"/>
      <c r="P155" s="47">
        <f t="shared" si="28"/>
        <v>46217700</v>
      </c>
    </row>
    <row r="156" spans="1:16" x14ac:dyDescent="0.3">
      <c r="A156" s="24">
        <v>3719770</v>
      </c>
      <c r="B156" s="38">
        <v>9770</v>
      </c>
      <c r="C156" s="26" t="s">
        <v>30</v>
      </c>
      <c r="D156" s="37" t="s">
        <v>347</v>
      </c>
      <c r="E156" s="47">
        <f>F156</f>
        <v>990000</v>
      </c>
      <c r="F156" s="47">
        <v>990000</v>
      </c>
      <c r="G156" s="47"/>
      <c r="H156" s="47"/>
      <c r="I156" s="47"/>
      <c r="J156" s="47"/>
      <c r="K156" s="47"/>
      <c r="L156" s="47"/>
      <c r="M156" s="47"/>
      <c r="N156" s="47"/>
      <c r="O156" s="47"/>
      <c r="P156" s="47">
        <f t="shared" si="28"/>
        <v>990000</v>
      </c>
    </row>
    <row r="157" spans="1:16" x14ac:dyDescent="0.3">
      <c r="A157" s="15"/>
      <c r="B157" s="38"/>
      <c r="C157" s="26"/>
      <c r="D157" s="16" t="s">
        <v>343</v>
      </c>
      <c r="E157" s="47"/>
      <c r="F157" s="47"/>
      <c r="G157" s="47"/>
      <c r="H157" s="47"/>
      <c r="I157" s="47"/>
      <c r="J157" s="36"/>
      <c r="K157" s="36"/>
      <c r="L157" s="36"/>
      <c r="M157" s="36"/>
      <c r="N157" s="36"/>
      <c r="O157" s="36"/>
      <c r="P157" s="36"/>
    </row>
    <row r="158" spans="1:16" ht="156" x14ac:dyDescent="0.3">
      <c r="A158" s="17"/>
      <c r="B158" s="17"/>
      <c r="C158" s="27"/>
      <c r="D158" s="18" t="s">
        <v>348</v>
      </c>
      <c r="E158" s="48">
        <f>F158</f>
        <v>990000</v>
      </c>
      <c r="F158" s="48">
        <v>990000</v>
      </c>
      <c r="G158" s="48"/>
      <c r="H158" s="48"/>
      <c r="I158" s="48"/>
      <c r="J158" s="39"/>
      <c r="K158" s="39"/>
      <c r="L158" s="39"/>
      <c r="M158" s="39"/>
      <c r="N158" s="39"/>
      <c r="O158" s="39"/>
      <c r="P158" s="48">
        <f t="shared" si="28"/>
        <v>990000</v>
      </c>
    </row>
    <row r="159" spans="1:16" ht="62.4" x14ac:dyDescent="0.3">
      <c r="A159" s="24">
        <v>3719800</v>
      </c>
      <c r="B159" s="24">
        <v>9800</v>
      </c>
      <c r="C159" s="26" t="s">
        <v>30</v>
      </c>
      <c r="D159" s="16" t="s">
        <v>326</v>
      </c>
      <c r="E159" s="47">
        <f>F159</f>
        <v>1000000</v>
      </c>
      <c r="F159" s="47">
        <f>F161</f>
        <v>1000000</v>
      </c>
      <c r="G159" s="47"/>
      <c r="H159" s="47"/>
      <c r="I159" s="47"/>
      <c r="J159" s="36"/>
      <c r="K159" s="36"/>
      <c r="L159" s="36"/>
      <c r="M159" s="36"/>
      <c r="N159" s="36"/>
      <c r="O159" s="36"/>
      <c r="P159" s="47">
        <f>E159+J159</f>
        <v>1000000</v>
      </c>
    </row>
    <row r="160" spans="1:16" x14ac:dyDescent="0.3">
      <c r="A160" s="24"/>
      <c r="B160" s="24"/>
      <c r="C160" s="26"/>
      <c r="D160" s="16" t="s">
        <v>343</v>
      </c>
      <c r="E160" s="49"/>
      <c r="F160" s="47"/>
      <c r="G160" s="47"/>
      <c r="H160" s="47"/>
      <c r="I160" s="47"/>
      <c r="J160" s="36"/>
      <c r="K160" s="36"/>
      <c r="L160" s="36"/>
      <c r="M160" s="36"/>
      <c r="N160" s="36"/>
      <c r="O160" s="36"/>
      <c r="P160" s="47"/>
    </row>
    <row r="161" spans="1:16" ht="62.4" x14ac:dyDescent="0.3">
      <c r="A161" s="24"/>
      <c r="B161" s="24"/>
      <c r="C161" s="26"/>
      <c r="D161" s="30" t="s">
        <v>342</v>
      </c>
      <c r="E161" s="48">
        <f>F161</f>
        <v>1000000</v>
      </c>
      <c r="F161" s="48">
        <v>1000000</v>
      </c>
      <c r="G161" s="48"/>
      <c r="H161" s="48"/>
      <c r="I161" s="48"/>
      <c r="J161" s="39"/>
      <c r="K161" s="39"/>
      <c r="L161" s="39"/>
      <c r="M161" s="39"/>
      <c r="N161" s="39"/>
      <c r="O161" s="39"/>
      <c r="P161" s="48">
        <f>E161+J161</f>
        <v>1000000</v>
      </c>
    </row>
    <row r="162" spans="1:16" x14ac:dyDescent="0.3">
      <c r="A162" s="20" t="s">
        <v>271</v>
      </c>
      <c r="B162" s="13" t="s">
        <v>271</v>
      </c>
      <c r="C162" s="13" t="s">
        <v>271</v>
      </c>
      <c r="D162" s="13" t="s">
        <v>270</v>
      </c>
      <c r="E162" s="40">
        <f t="shared" ref="E162:O162" si="29">E19+E45+E70+E87+E97+E105+E122+E140+E148</f>
        <v>927209085.87</v>
      </c>
      <c r="F162" s="40">
        <f t="shared" si="29"/>
        <v>844316163.87</v>
      </c>
      <c r="G162" s="40">
        <f t="shared" si="29"/>
        <v>514488322.87</v>
      </c>
      <c r="H162" s="46">
        <f t="shared" si="29"/>
        <v>55705860</v>
      </c>
      <c r="I162" s="46">
        <f t="shared" si="29"/>
        <v>78097922</v>
      </c>
      <c r="J162" s="40">
        <f t="shared" si="29"/>
        <v>82650640.199999988</v>
      </c>
      <c r="K162" s="40">
        <f t="shared" si="29"/>
        <v>64138355.079999998</v>
      </c>
      <c r="L162" s="46">
        <f t="shared" si="29"/>
        <v>9390500</v>
      </c>
      <c r="M162" s="46">
        <f t="shared" si="29"/>
        <v>415000</v>
      </c>
      <c r="N162" s="40"/>
      <c r="O162" s="40">
        <f t="shared" si="29"/>
        <v>73260140.200000003</v>
      </c>
      <c r="P162" s="40">
        <f>E162+J162</f>
        <v>1009859726.0699999</v>
      </c>
    </row>
    <row r="163" spans="1:16" x14ac:dyDescent="0.3">
      <c r="E163" s="42"/>
      <c r="F163" s="42"/>
      <c r="G163" s="42"/>
      <c r="H163" s="42"/>
      <c r="I163" s="42"/>
      <c r="J163" s="42"/>
      <c r="K163" s="42"/>
      <c r="L163" s="42"/>
      <c r="M163" s="42"/>
      <c r="N163" s="42"/>
      <c r="O163" s="42"/>
      <c r="P163" s="42"/>
    </row>
    <row r="164" spans="1:16" s="2" customFormat="1" ht="18" x14ac:dyDescent="0.35">
      <c r="A164" s="6"/>
      <c r="B164" s="6"/>
      <c r="C164" s="1" t="s">
        <v>278</v>
      </c>
      <c r="D164" s="3" t="s">
        <v>279</v>
      </c>
      <c r="E164" s="49">
        <f>E21+E26+E27+E47+E48+E72+E73+E89+E90+E99+E100+E107+E108+E109+E124+E125+E126+E142+E143+E149+E150</f>
        <v>129552500</v>
      </c>
      <c r="F164" s="49">
        <f t="shared" ref="F164:P164" si="30">F21+F26+F27+F47+F48+F72+F73+F89+F90+F99+F100+F107+F108+F109+F124+F125+F126+F142+F143+F149+F150</f>
        <v>129552500</v>
      </c>
      <c r="G164" s="49">
        <f t="shared" si="30"/>
        <v>76670200</v>
      </c>
      <c r="H164" s="49">
        <f t="shared" si="30"/>
        <v>5476900</v>
      </c>
      <c r="I164" s="49"/>
      <c r="J164" s="41">
        <f t="shared" si="30"/>
        <v>1592027.9</v>
      </c>
      <c r="K164" s="41">
        <f t="shared" si="30"/>
        <v>1453527.9</v>
      </c>
      <c r="L164" s="49">
        <f t="shared" si="30"/>
        <v>138500</v>
      </c>
      <c r="M164" s="41"/>
      <c r="N164" s="41"/>
      <c r="O164" s="41">
        <f t="shared" si="30"/>
        <v>1453527.9</v>
      </c>
      <c r="P164" s="41">
        <f t="shared" si="30"/>
        <v>131144527.89999999</v>
      </c>
    </row>
    <row r="165" spans="1:16" s="2" customFormat="1" ht="18" x14ac:dyDescent="0.35">
      <c r="A165" s="6"/>
      <c r="B165" s="6"/>
      <c r="C165" s="1" t="s">
        <v>280</v>
      </c>
      <c r="D165" s="3" t="s">
        <v>281</v>
      </c>
      <c r="E165" s="41">
        <f>E49+E50+E51+E52+E53+E54+E55+E56+E57+E58+E59+E60+E61+E62+E63+E64+E91</f>
        <v>459334522.87</v>
      </c>
      <c r="F165" s="41">
        <f t="shared" ref="F165:P165" si="31">F49+F50+F51+F52+F53+F54+F55+F56+F57+F58+F59+F60+F61+F62+F63+F64+F91</f>
        <v>459334522.87</v>
      </c>
      <c r="G165" s="41">
        <f t="shared" si="31"/>
        <v>376864122.87</v>
      </c>
      <c r="H165" s="49">
        <f t="shared" si="31"/>
        <v>46325860</v>
      </c>
      <c r="I165" s="41"/>
      <c r="J165" s="41">
        <f t="shared" si="31"/>
        <v>11175340.380000001</v>
      </c>
      <c r="K165" s="41">
        <f t="shared" si="31"/>
        <v>2703840.38</v>
      </c>
      <c r="L165" s="49">
        <f t="shared" si="31"/>
        <v>8211500</v>
      </c>
      <c r="M165" s="49">
        <f t="shared" si="31"/>
        <v>385000</v>
      </c>
      <c r="N165" s="41"/>
      <c r="O165" s="41">
        <f t="shared" si="31"/>
        <v>2963840.38</v>
      </c>
      <c r="P165" s="41">
        <f t="shared" si="31"/>
        <v>470509863.25</v>
      </c>
    </row>
    <row r="166" spans="1:16" s="2" customFormat="1" ht="18" x14ac:dyDescent="0.35">
      <c r="A166" s="6"/>
      <c r="B166" s="6"/>
      <c r="C166" s="1" t="s">
        <v>282</v>
      </c>
      <c r="D166" s="3" t="s">
        <v>283</v>
      </c>
      <c r="E166" s="49">
        <f>E28+E29+E30+E31+E127</f>
        <v>39269700</v>
      </c>
      <c r="F166" s="49">
        <f>F28+F29+F30+F31+F127</f>
        <v>39269700</v>
      </c>
      <c r="G166" s="49"/>
      <c r="H166" s="49"/>
      <c r="I166" s="41"/>
      <c r="J166" s="41">
        <f t="shared" ref="J166:O166" si="32">J28+J29+J31+J127</f>
        <v>8834321.1600000001</v>
      </c>
      <c r="K166" s="41">
        <f t="shared" si="32"/>
        <v>8834321.1600000001</v>
      </c>
      <c r="L166" s="41"/>
      <c r="M166" s="41"/>
      <c r="N166" s="41"/>
      <c r="O166" s="41">
        <f t="shared" si="32"/>
        <v>8834321.1600000001</v>
      </c>
      <c r="P166" s="41">
        <f>E166+J166</f>
        <v>48104021.159999996</v>
      </c>
    </row>
    <row r="167" spans="1:16" s="2" customFormat="1" ht="37.200000000000003" customHeight="1" x14ac:dyDescent="0.35">
      <c r="A167" s="6"/>
      <c r="B167" s="6"/>
      <c r="C167" s="1" t="s">
        <v>284</v>
      </c>
      <c r="D167" s="3" t="s">
        <v>285</v>
      </c>
      <c r="E167" s="49">
        <f>E32+E33+E67+E68+E74+E75+E76+E77+E78+E79+E80+E81+E82+E83+E84+E85+E86+E101+E110</f>
        <v>64606763</v>
      </c>
      <c r="F167" s="50">
        <f>F32+F33+F67+F68+F74+F75+F76+F77+F78+F79+F80+F81+F82+F83+F84+F85+F86+F101+F110</f>
        <v>64606763</v>
      </c>
      <c r="G167" s="50">
        <f>G32+G33+G67+G68+G74+G75+G76+G77+G78+G79+G80+G81+G82+G83+G84+G85+G86+G101+G110</f>
        <v>20199500</v>
      </c>
      <c r="H167" s="50">
        <f>H32+H33+H67+H68+H74+H75+H76+H77+H78+H79+H80+H81+H82+H83+H84+H85+H86+H101+H110</f>
        <v>412100</v>
      </c>
      <c r="I167" s="43"/>
      <c r="J167" s="49">
        <f>J32+J33+J67+J68+J74+J75+J76+J77+J78+J79+J80+J81+J82+J83+J84+J85+J86+J101+J110</f>
        <v>68000</v>
      </c>
      <c r="K167" s="50"/>
      <c r="L167" s="50"/>
      <c r="M167" s="50"/>
      <c r="N167" s="50"/>
      <c r="O167" s="50">
        <f>O32+O33+O67+O68+O74+O75+O76+O77+O78+O79+O80+O81+O82+O83+O84+O85+O86+O101+O110</f>
        <v>68000</v>
      </c>
      <c r="P167" s="49">
        <f t="shared" ref="P167:P181" si="33">E167+J167</f>
        <v>64674763</v>
      </c>
    </row>
    <row r="168" spans="1:16" s="2" customFormat="1" ht="18" x14ac:dyDescent="0.35">
      <c r="A168" s="6"/>
      <c r="B168" s="6"/>
      <c r="C168" s="1" t="s">
        <v>286</v>
      </c>
      <c r="D168" s="3" t="s">
        <v>287</v>
      </c>
      <c r="E168" s="49">
        <f>E92+E93+E94+E95+E96</f>
        <v>25520200</v>
      </c>
      <c r="F168" s="50">
        <f>F92+F93+F94+F95+F96</f>
        <v>25520200</v>
      </c>
      <c r="G168" s="50">
        <f>G92+G93+G94+G95+G96</f>
        <v>19930700</v>
      </c>
      <c r="H168" s="50">
        <f>H92+H93+H94+H95+H96</f>
        <v>2421100</v>
      </c>
      <c r="I168" s="43"/>
      <c r="J168" s="49">
        <f>J92+J93+J94+J95+J96</f>
        <v>322000</v>
      </c>
      <c r="K168" s="50"/>
      <c r="L168" s="50">
        <f>L92+L93+L94+L95+L96</f>
        <v>295000</v>
      </c>
      <c r="M168" s="50">
        <f>M92+M93+M94+M95+M96</f>
        <v>30000</v>
      </c>
      <c r="N168" s="50"/>
      <c r="O168" s="50">
        <f>O92+O93+O94+O95+O96</f>
        <v>27000</v>
      </c>
      <c r="P168" s="49">
        <f t="shared" si="33"/>
        <v>25842200</v>
      </c>
    </row>
    <row r="169" spans="1:16" s="2" customFormat="1" ht="18" x14ac:dyDescent="0.35">
      <c r="A169" s="6"/>
      <c r="B169" s="6"/>
      <c r="C169" s="1" t="s">
        <v>288</v>
      </c>
      <c r="D169" s="3" t="s">
        <v>289</v>
      </c>
      <c r="E169" s="49">
        <f>E69+E102+E103+E104</f>
        <v>12448900</v>
      </c>
      <c r="F169" s="50">
        <f>F69+F102+F103+F104</f>
        <v>12448900</v>
      </c>
      <c r="G169" s="50">
        <f>G69+G102+G103+G104</f>
        <v>8435600</v>
      </c>
      <c r="H169" s="50">
        <f>H69+H102+H103+H104</f>
        <v>835000</v>
      </c>
      <c r="I169" s="43"/>
      <c r="J169" s="49"/>
      <c r="K169" s="50"/>
      <c r="L169" s="50"/>
      <c r="M169" s="50"/>
      <c r="N169" s="50"/>
      <c r="O169" s="50"/>
      <c r="P169" s="49">
        <f t="shared" si="33"/>
        <v>12448900</v>
      </c>
    </row>
    <row r="170" spans="1:16" s="2" customFormat="1" ht="18" x14ac:dyDescent="0.35">
      <c r="A170" s="6"/>
      <c r="B170" s="6"/>
      <c r="C170" s="1" t="s">
        <v>290</v>
      </c>
      <c r="D170" s="3" t="s">
        <v>291</v>
      </c>
      <c r="E170" s="49">
        <f>E34+E111+E112+E113+E114+E115+E116+E128+E129+E130+E131+E144</f>
        <v>96017000</v>
      </c>
      <c r="F170" s="49">
        <f t="shared" ref="F170:P170" si="34">F34+F111+F112+F113+F114+F115+F116+F128+F129+F130+F131+F144</f>
        <v>30986778</v>
      </c>
      <c r="G170" s="49"/>
      <c r="H170" s="49"/>
      <c r="I170" s="49">
        <f t="shared" si="34"/>
        <v>65030222</v>
      </c>
      <c r="J170" s="41">
        <f t="shared" si="34"/>
        <v>26417892.599999998</v>
      </c>
      <c r="K170" s="41">
        <f t="shared" si="34"/>
        <v>26417892.599999998</v>
      </c>
      <c r="L170" s="41"/>
      <c r="M170" s="41"/>
      <c r="N170" s="41"/>
      <c r="O170" s="41">
        <f t="shared" si="34"/>
        <v>26417892.599999998</v>
      </c>
      <c r="P170" s="41">
        <f t="shared" si="34"/>
        <v>122434892.60000001</v>
      </c>
    </row>
    <row r="171" spans="1:16" s="2" customFormat="1" ht="31.8" x14ac:dyDescent="0.35">
      <c r="A171" s="6"/>
      <c r="B171" s="6"/>
      <c r="C171" s="1" t="s">
        <v>292</v>
      </c>
      <c r="D171" s="3" t="s">
        <v>293</v>
      </c>
      <c r="E171" s="49">
        <f>E145</f>
        <v>200000</v>
      </c>
      <c r="F171" s="50">
        <f>F145</f>
        <v>200000</v>
      </c>
      <c r="G171" s="50"/>
      <c r="H171" s="50"/>
      <c r="I171" s="50"/>
      <c r="J171" s="41"/>
      <c r="K171" s="43"/>
      <c r="L171" s="43"/>
      <c r="M171" s="43"/>
      <c r="N171" s="43"/>
      <c r="O171" s="43"/>
      <c r="P171" s="49">
        <f t="shared" si="33"/>
        <v>200000</v>
      </c>
    </row>
    <row r="172" spans="1:16" s="2" customFormat="1" ht="18" x14ac:dyDescent="0.35">
      <c r="A172" s="6"/>
      <c r="B172" s="6"/>
      <c r="C172" s="1" t="s">
        <v>294</v>
      </c>
      <c r="D172" s="3" t="s">
        <v>295</v>
      </c>
      <c r="E172" s="49">
        <f>E117+E132+E133+E134+E135+E136</f>
        <v>2220000</v>
      </c>
      <c r="F172" s="49">
        <f t="shared" ref="F172:P172" si="35">F117+F132+F133+F134+F135+F136</f>
        <v>2220000</v>
      </c>
      <c r="G172" s="49"/>
      <c r="H172" s="49"/>
      <c r="I172" s="49"/>
      <c r="J172" s="41">
        <f t="shared" si="35"/>
        <v>22011708.560000002</v>
      </c>
      <c r="K172" s="41">
        <f t="shared" si="35"/>
        <v>22011708.560000002</v>
      </c>
      <c r="L172" s="41"/>
      <c r="M172" s="41"/>
      <c r="N172" s="41"/>
      <c r="O172" s="41">
        <f t="shared" si="35"/>
        <v>22011708.560000002</v>
      </c>
      <c r="P172" s="41">
        <f t="shared" si="35"/>
        <v>24231708.560000002</v>
      </c>
    </row>
    <row r="173" spans="1:16" s="2" customFormat="1" ht="31.8" x14ac:dyDescent="0.35">
      <c r="A173" s="6"/>
      <c r="B173" s="6"/>
      <c r="C173" s="1" t="s">
        <v>296</v>
      </c>
      <c r="D173" s="3" t="s">
        <v>297</v>
      </c>
      <c r="E173" s="49">
        <f>E118</f>
        <v>13305000</v>
      </c>
      <c r="F173" s="49">
        <f t="shared" ref="F173:P173" si="36">F118</f>
        <v>13305000</v>
      </c>
      <c r="G173" s="49"/>
      <c r="H173" s="49"/>
      <c r="I173" s="49"/>
      <c r="J173" s="41"/>
      <c r="K173" s="41"/>
      <c r="L173" s="41"/>
      <c r="M173" s="41"/>
      <c r="N173" s="41"/>
      <c r="O173" s="41"/>
      <c r="P173" s="49">
        <f t="shared" si="36"/>
        <v>13305000</v>
      </c>
    </row>
    <row r="174" spans="1:16" s="2" customFormat="1" ht="31.8" x14ac:dyDescent="0.35">
      <c r="A174" s="6"/>
      <c r="B174" s="6"/>
      <c r="C174" s="1" t="s">
        <v>298</v>
      </c>
      <c r="D174" s="3" t="s">
        <v>299</v>
      </c>
      <c r="E174" s="49">
        <f>E38+E39+E119+E120+E137+E138+E146</f>
        <v>13239100</v>
      </c>
      <c r="F174" s="49">
        <f t="shared" ref="F174:P174" si="37">F38+F39+F119+F120+F137+F138+F146</f>
        <v>171400</v>
      </c>
      <c r="G174" s="49"/>
      <c r="H174" s="49"/>
      <c r="I174" s="49">
        <f t="shared" si="37"/>
        <v>13067700</v>
      </c>
      <c r="J174" s="41">
        <f t="shared" si="37"/>
        <v>9504512.3900000006</v>
      </c>
      <c r="K174" s="41">
        <f>K38+K39+K119+K120+K137+K138+K146</f>
        <v>1917064.4800000002</v>
      </c>
      <c r="L174" s="41"/>
      <c r="M174" s="41"/>
      <c r="N174" s="41"/>
      <c r="O174" s="41">
        <f t="shared" si="37"/>
        <v>9504512.3900000006</v>
      </c>
      <c r="P174" s="41">
        <f t="shared" si="37"/>
        <v>22743612.390000001</v>
      </c>
    </row>
    <row r="175" spans="1:16" s="2" customFormat="1" ht="18" x14ac:dyDescent="0.35">
      <c r="A175" s="6"/>
      <c r="B175" s="6"/>
      <c r="C175" s="1" t="s">
        <v>300</v>
      </c>
      <c r="D175" s="3" t="s">
        <v>301</v>
      </c>
      <c r="E175" s="49">
        <f>E40+E41+E42+E43</f>
        <v>18492700</v>
      </c>
      <c r="F175" s="49">
        <f t="shared" ref="F175:O175" si="38">F40+F41+F42+F43</f>
        <v>18492700</v>
      </c>
      <c r="G175" s="49">
        <f t="shared" si="38"/>
        <v>12388200</v>
      </c>
      <c r="H175" s="49">
        <f t="shared" si="38"/>
        <v>234900</v>
      </c>
      <c r="I175" s="49"/>
      <c r="J175" s="49">
        <f t="shared" si="38"/>
        <v>800000</v>
      </c>
      <c r="K175" s="49">
        <f t="shared" si="38"/>
        <v>800000</v>
      </c>
      <c r="L175" s="49"/>
      <c r="M175" s="49"/>
      <c r="N175" s="49"/>
      <c r="O175" s="49">
        <f t="shared" si="38"/>
        <v>800000</v>
      </c>
      <c r="P175" s="49">
        <f>P40+P41+P42+P43</f>
        <v>19292700</v>
      </c>
    </row>
    <row r="176" spans="1:16" s="2" customFormat="1" ht="31.8" x14ac:dyDescent="0.35">
      <c r="A176" s="6"/>
      <c r="B176" s="6"/>
      <c r="C176" s="1" t="s">
        <v>73</v>
      </c>
      <c r="D176" s="4" t="s">
        <v>75</v>
      </c>
      <c r="E176" s="41"/>
      <c r="F176" s="41"/>
      <c r="G176" s="41"/>
      <c r="H176" s="41"/>
      <c r="I176" s="41"/>
      <c r="J176" s="41">
        <f t="shared" ref="J176:O176" si="39">J44+J121+J139</f>
        <v>1924837.21</v>
      </c>
      <c r="K176" s="41">
        <f t="shared" si="39"/>
        <v>0</v>
      </c>
      <c r="L176" s="41">
        <f t="shared" si="39"/>
        <v>745500</v>
      </c>
      <c r="M176" s="41">
        <f t="shared" si="39"/>
        <v>0</v>
      </c>
      <c r="N176" s="41">
        <f t="shared" si="39"/>
        <v>0</v>
      </c>
      <c r="O176" s="41">
        <f t="shared" si="39"/>
        <v>1179337.21</v>
      </c>
      <c r="P176" s="41">
        <f t="shared" si="33"/>
        <v>1924837.21</v>
      </c>
    </row>
    <row r="177" spans="1:16" s="2" customFormat="1" ht="18" x14ac:dyDescent="0.35">
      <c r="A177" s="7"/>
      <c r="B177" s="7"/>
      <c r="C177" s="1" t="s">
        <v>302</v>
      </c>
      <c r="D177" s="4" t="s">
        <v>303</v>
      </c>
      <c r="E177" s="49">
        <f>E154</f>
        <v>4795000</v>
      </c>
      <c r="F177" s="51"/>
      <c r="G177" s="44"/>
      <c r="H177" s="44"/>
      <c r="I177" s="44"/>
      <c r="J177" s="41"/>
      <c r="K177" s="44"/>
      <c r="L177" s="44"/>
      <c r="M177" s="44"/>
      <c r="N177" s="44"/>
      <c r="O177" s="44"/>
      <c r="P177" s="49">
        <f t="shared" si="33"/>
        <v>4795000</v>
      </c>
    </row>
    <row r="178" spans="1:16" s="2" customFormat="1" ht="31.8" x14ac:dyDescent="0.35">
      <c r="A178" s="7"/>
      <c r="B178" s="7"/>
      <c r="C178" s="1" t="s">
        <v>304</v>
      </c>
      <c r="D178" s="4" t="s">
        <v>305</v>
      </c>
      <c r="E178" s="49">
        <f>E155</f>
        <v>46217700</v>
      </c>
      <c r="F178" s="51">
        <f>F155</f>
        <v>46217700</v>
      </c>
      <c r="G178" s="44"/>
      <c r="H178" s="44"/>
      <c r="I178" s="44"/>
      <c r="J178" s="41"/>
      <c r="K178" s="44"/>
      <c r="L178" s="44"/>
      <c r="M178" s="44"/>
      <c r="N178" s="44"/>
      <c r="O178" s="44"/>
      <c r="P178" s="49">
        <f t="shared" si="33"/>
        <v>46217700</v>
      </c>
    </row>
    <row r="179" spans="1:16" s="2" customFormat="1" ht="63" x14ac:dyDescent="0.35">
      <c r="A179" s="7"/>
      <c r="B179" s="7"/>
      <c r="C179" s="1" t="s">
        <v>349</v>
      </c>
      <c r="D179" s="4" t="s">
        <v>350</v>
      </c>
      <c r="E179" s="49">
        <f>E156</f>
        <v>990000</v>
      </c>
      <c r="F179" s="49">
        <f>F156</f>
        <v>990000</v>
      </c>
      <c r="G179" s="51"/>
      <c r="H179" s="51"/>
      <c r="I179" s="51"/>
      <c r="J179" s="49"/>
      <c r="K179" s="51"/>
      <c r="L179" s="51"/>
      <c r="M179" s="51"/>
      <c r="N179" s="51"/>
      <c r="O179" s="51"/>
      <c r="P179" s="49">
        <f t="shared" si="33"/>
        <v>990000</v>
      </c>
    </row>
    <row r="180" spans="1:16" s="2" customFormat="1" ht="62.4" x14ac:dyDescent="0.35">
      <c r="A180" s="7"/>
      <c r="B180" s="7"/>
      <c r="C180" s="1" t="s">
        <v>327</v>
      </c>
      <c r="D180" s="16" t="s">
        <v>326</v>
      </c>
      <c r="E180" s="49">
        <f>E159</f>
        <v>1000000</v>
      </c>
      <c r="F180" s="51">
        <f>F159</f>
        <v>1000000</v>
      </c>
      <c r="G180" s="51"/>
      <c r="H180" s="51"/>
      <c r="I180" s="51"/>
      <c r="J180" s="49"/>
      <c r="K180" s="51"/>
      <c r="L180" s="51"/>
      <c r="M180" s="51"/>
      <c r="N180" s="51"/>
      <c r="O180" s="51"/>
      <c r="P180" s="49">
        <f t="shared" si="33"/>
        <v>1000000</v>
      </c>
    </row>
    <row r="181" spans="1:16" s="5" customFormat="1" x14ac:dyDescent="0.3">
      <c r="A181" s="22"/>
      <c r="B181" s="22"/>
      <c r="C181" s="22"/>
      <c r="D181" s="22" t="s">
        <v>16</v>
      </c>
      <c r="E181" s="45">
        <f>SUM(E164:E180)</f>
        <v>927209085.87</v>
      </c>
      <c r="F181" s="45">
        <f>SUM(F164:F180)</f>
        <v>844316163.87</v>
      </c>
      <c r="G181" s="45">
        <f t="shared" ref="G181:O181" si="40">SUM(G164:G178)</f>
        <v>514488322.87</v>
      </c>
      <c r="H181" s="45">
        <f t="shared" si="40"/>
        <v>55705860</v>
      </c>
      <c r="I181" s="45">
        <f t="shared" si="40"/>
        <v>78097922</v>
      </c>
      <c r="J181" s="45">
        <f t="shared" si="40"/>
        <v>82650640.199999988</v>
      </c>
      <c r="K181" s="45">
        <f>SUM(K164:K178)</f>
        <v>64138355.079999998</v>
      </c>
      <c r="L181" s="45">
        <f t="shared" si="40"/>
        <v>9390500</v>
      </c>
      <c r="M181" s="45">
        <f t="shared" si="40"/>
        <v>415000</v>
      </c>
      <c r="N181" s="45"/>
      <c r="O181" s="45">
        <f t="shared" si="40"/>
        <v>73260140.200000003</v>
      </c>
      <c r="P181" s="45">
        <f t="shared" si="33"/>
        <v>1009859726.0699999</v>
      </c>
    </row>
    <row r="182" spans="1:16" x14ac:dyDescent="0.3">
      <c r="F182" s="21"/>
    </row>
    <row r="183" spans="1:16" x14ac:dyDescent="0.3">
      <c r="D183" s="8" t="s">
        <v>307</v>
      </c>
      <c r="I183" s="8" t="s">
        <v>274</v>
      </c>
    </row>
    <row r="185" spans="1:16" x14ac:dyDescent="0.3">
      <c r="D185" s="8" t="s">
        <v>306</v>
      </c>
      <c r="E185" s="23">
        <f>E162-E181</f>
        <v>0</v>
      </c>
      <c r="F185" s="23">
        <f t="shared" ref="F185:P185" si="41">F162-F181</f>
        <v>0</v>
      </c>
      <c r="G185" s="23">
        <f t="shared" si="41"/>
        <v>0</v>
      </c>
      <c r="H185" s="23">
        <f t="shared" si="41"/>
        <v>0</v>
      </c>
      <c r="I185" s="23">
        <f t="shared" si="41"/>
        <v>0</v>
      </c>
      <c r="J185" s="23">
        <f t="shared" si="41"/>
        <v>0</v>
      </c>
      <c r="K185" s="23">
        <f t="shared" si="41"/>
        <v>0</v>
      </c>
      <c r="L185" s="23">
        <f t="shared" si="41"/>
        <v>0</v>
      </c>
      <c r="M185" s="23">
        <f t="shared" si="41"/>
        <v>0</v>
      </c>
      <c r="N185" s="23">
        <f t="shared" si="41"/>
        <v>0</v>
      </c>
      <c r="O185" s="23">
        <f t="shared" si="41"/>
        <v>0</v>
      </c>
      <c r="P185" s="23">
        <f t="shared" si="41"/>
        <v>0</v>
      </c>
    </row>
  </sheetData>
  <mergeCells count="22">
    <mergeCell ref="O15:O17"/>
    <mergeCell ref="G16:G17"/>
    <mergeCell ref="H16:H17"/>
    <mergeCell ref="M16:M17"/>
    <mergeCell ref="N16:N17"/>
    <mergeCell ref="L15:L17"/>
    <mergeCell ref="A10:P10"/>
    <mergeCell ref="A11:P11"/>
    <mergeCell ref="A14:A17"/>
    <mergeCell ref="B14:B17"/>
    <mergeCell ref="C14:C17"/>
    <mergeCell ref="D14:D17"/>
    <mergeCell ref="E14:I14"/>
    <mergeCell ref="J14:O14"/>
    <mergeCell ref="P14:P17"/>
    <mergeCell ref="E15:E17"/>
    <mergeCell ref="F15:F17"/>
    <mergeCell ref="G15:H15"/>
    <mergeCell ref="I15:I17"/>
    <mergeCell ref="J15:J17"/>
    <mergeCell ref="K15:K17"/>
    <mergeCell ref="M15:N15"/>
  </mergeCells>
  <pageMargins left="0.19685039370078741" right="0.19685039370078741" top="0.74803149606299213" bottom="0.74803149606299213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із змінами</vt:lpstr>
      <vt:lpstr>'із змінами'!Заголовки_для_печати</vt:lpstr>
      <vt:lpstr>'із змінами'!Область_печати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220FU6</cp:lastModifiedBy>
  <cp:lastPrinted>2022-02-28T15:09:46Z</cp:lastPrinted>
  <dcterms:created xsi:type="dcterms:W3CDTF">2021-12-07T06:52:40Z</dcterms:created>
  <dcterms:modified xsi:type="dcterms:W3CDTF">2022-03-01T08:17:02Z</dcterms:modified>
</cp:coreProperties>
</file>